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dmin\Desktop\"/>
    </mc:Choice>
  </mc:AlternateContent>
  <xr:revisionPtr revIDLastSave="0" documentId="8_{9DA1D150-7A5B-4981-BC72-77559286FEFC}" xr6:coauthVersionLast="36" xr6:coauthVersionMax="36" xr10:uidLastSave="{00000000-0000-0000-0000-000000000000}"/>
  <bookViews>
    <workbookView xWindow="-105" yWindow="-105" windowWidth="21795" windowHeight="13875" firstSheet="7" activeTab="7" xr2:uid="{00000000-000D-0000-FFFF-FFFF00000000}"/>
  </bookViews>
  <sheets>
    <sheet name="Kangatang" sheetId="2" state="veryHidden" r:id="rId1"/>
    <sheet name="DT THU BS 01" sheetId="3" r:id="rId2"/>
    <sheet name="DT CHI BS 02" sheetId="4" r:id="rId3"/>
    <sheet name="DT THU BS 03" sheetId="5" r:id="rId4"/>
    <sheet name="DT THU BS 04" sheetId="6" r:id="rId5"/>
    <sheet name="DT THU BS 05" sheetId="7" r:id="rId6"/>
    <sheet name="DT MUC TIEU XA" sheetId="8" r:id="rId7"/>
    <sheet name="DT MUC TIEU 07" sheetId="9" r:id="rId8"/>
    <sheet name="DT BO SUNG MUC TIEU 08" sheetId="10" r:id="rId9"/>
    <sheet name="PHƯƠNG AN 2024" sheetId="1" r:id="rId10"/>
    <sheet name="TUNG SU NGHIEP" sheetId="11" r:id="rId11"/>
  </sheets>
  <externalReferences>
    <externalReference r:id="rId12"/>
    <externalReference r:id="rId13"/>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7" l="1"/>
  <c r="L11" i="7"/>
  <c r="L12" i="7"/>
  <c r="L13" i="7"/>
  <c r="L14" i="7"/>
  <c r="L15" i="7"/>
  <c r="L16" i="7"/>
  <c r="L17" i="7"/>
  <c r="L18" i="7"/>
  <c r="B683" i="1"/>
  <c r="B672" i="1"/>
  <c r="B660" i="1"/>
  <c r="B649" i="1"/>
  <c r="B637" i="1"/>
  <c r="B626" i="1"/>
  <c r="B614" i="1"/>
  <c r="B603" i="1"/>
  <c r="B591" i="1"/>
  <c r="B580" i="1"/>
  <c r="B568" i="1"/>
  <c r="B557" i="1"/>
  <c r="B545" i="1"/>
  <c r="B534" i="1"/>
  <c r="B522" i="1"/>
  <c r="B511" i="1"/>
  <c r="B499" i="1"/>
  <c r="B488" i="1"/>
  <c r="B476" i="1"/>
  <c r="B465" i="1"/>
  <c r="B454" i="1"/>
  <c r="B443" i="1"/>
  <c r="B432" i="1"/>
  <c r="B421" i="1"/>
  <c r="B410" i="1"/>
  <c r="B400" i="1"/>
  <c r="B390" i="1"/>
  <c r="C70" i="11"/>
  <c r="A3" i="4" l="1"/>
  <c r="C333" i="1"/>
  <c r="G74" i="11"/>
  <c r="F74" i="11" s="1"/>
  <c r="C74" i="11" s="1"/>
  <c r="H73" i="11"/>
  <c r="F73" i="11" s="1"/>
  <c r="C73" i="11" s="1"/>
  <c r="H72" i="11"/>
  <c r="F72" i="11" s="1"/>
  <c r="C72" i="11" s="1"/>
  <c r="G71" i="11"/>
  <c r="C716" i="1"/>
  <c r="C26" i="4"/>
  <c r="E25" i="4"/>
  <c r="D25" i="4"/>
  <c r="C25" i="4" s="1"/>
  <c r="E24" i="4"/>
  <c r="D24" i="4"/>
  <c r="C24" i="4" s="1"/>
  <c r="E23" i="4"/>
  <c r="D23" i="4"/>
  <c r="C23" i="4"/>
  <c r="E22" i="4"/>
  <c r="C22" i="4" s="1"/>
  <c r="D22" i="4"/>
  <c r="E21" i="4"/>
  <c r="D21" i="4"/>
  <c r="C21" i="4"/>
  <c r="E20" i="4"/>
  <c r="D20" i="4"/>
  <c r="C20" i="4"/>
  <c r="E19" i="4"/>
  <c r="D19" i="4"/>
  <c r="C19" i="4"/>
  <c r="E18" i="4"/>
  <c r="D18" i="4"/>
  <c r="C18" i="4"/>
  <c r="E17" i="4"/>
  <c r="D17" i="4"/>
  <c r="E16" i="4"/>
  <c r="D16" i="4"/>
  <c r="C16" i="4" s="1"/>
  <c r="E15" i="4"/>
  <c r="D15" i="4"/>
  <c r="C15" i="4" s="1"/>
  <c r="D14" i="4"/>
  <c r="C14" i="4"/>
  <c r="D13" i="4"/>
  <c r="C13" i="4" s="1"/>
  <c r="C11" i="4"/>
  <c r="D10" i="4"/>
  <c r="C10" i="4"/>
  <c r="E9" i="4"/>
  <c r="D9" i="4"/>
  <c r="C9" i="4" s="1"/>
  <c r="C17" i="4" l="1"/>
  <c r="E12" i="4"/>
  <c r="E8" i="4"/>
  <c r="D12" i="4"/>
  <c r="C12" i="4" s="1"/>
  <c r="C8" i="4" s="1"/>
  <c r="D8" i="4" l="1"/>
  <c r="C696" i="1"/>
  <c r="C694" i="1"/>
  <c r="C691" i="1"/>
  <c r="C685" i="1"/>
  <c r="C682" i="1"/>
  <c r="C680" i="1"/>
  <c r="C679" i="1" s="1"/>
  <c r="C674" i="1"/>
  <c r="C671" i="1"/>
  <c r="C669" i="1"/>
  <c r="C662" i="1"/>
  <c r="C659" i="1"/>
  <c r="C657" i="1"/>
  <c r="C651" i="1"/>
  <c r="C648" i="1"/>
  <c r="C646" i="1"/>
  <c r="C645" i="1" s="1"/>
  <c r="C639" i="1"/>
  <c r="C636" i="1"/>
  <c r="C634" i="1"/>
  <c r="C628" i="1"/>
  <c r="C625" i="1"/>
  <c r="C623" i="1"/>
  <c r="C622" i="1"/>
  <c r="C616" i="1"/>
  <c r="C613" i="1"/>
  <c r="C611" i="1"/>
  <c r="C605" i="1"/>
  <c r="C602" i="1"/>
  <c r="C600" i="1"/>
  <c r="C599" i="1" s="1"/>
  <c r="C593" i="1"/>
  <c r="C590" i="1"/>
  <c r="C588" i="1"/>
  <c r="C582" i="1"/>
  <c r="C579" i="1"/>
  <c r="C577" i="1"/>
  <c r="C570" i="1"/>
  <c r="C567" i="1"/>
  <c r="C565" i="1"/>
  <c r="C559" i="1"/>
  <c r="C556" i="1"/>
  <c r="C554" i="1"/>
  <c r="C547" i="1"/>
  <c r="C544" i="1"/>
  <c r="C542" i="1"/>
  <c r="C536" i="1"/>
  <c r="C533" i="1"/>
  <c r="C531" i="1"/>
  <c r="C524" i="1"/>
  <c r="C521" i="1"/>
  <c r="C519" i="1"/>
  <c r="C513" i="1"/>
  <c r="C510" i="1"/>
  <c r="C508" i="1"/>
  <c r="C507" i="1"/>
  <c r="C501" i="1"/>
  <c r="C498" i="1"/>
  <c r="C496" i="1"/>
  <c r="C490" i="1"/>
  <c r="C487" i="1"/>
  <c r="C485" i="1"/>
  <c r="C478" i="1"/>
  <c r="C475" i="1"/>
  <c r="C473" i="1"/>
  <c r="C467" i="1"/>
  <c r="C464" i="1"/>
  <c r="C462" i="1"/>
  <c r="C456" i="1"/>
  <c r="C453" i="1"/>
  <c r="C451" i="1"/>
  <c r="C445" i="1"/>
  <c r="C442" i="1"/>
  <c r="C440" i="1"/>
  <c r="C434" i="1"/>
  <c r="C431" i="1"/>
  <c r="C429" i="1"/>
  <c r="C423" i="1"/>
  <c r="C420" i="1"/>
  <c r="C418" i="1"/>
  <c r="C412" i="1"/>
  <c r="C409" i="1"/>
  <c r="C407" i="1"/>
  <c r="C402" i="1"/>
  <c r="C399" i="1"/>
  <c r="C397" i="1"/>
  <c r="C392" i="1"/>
  <c r="C389" i="1"/>
  <c r="C387" i="1"/>
  <c r="C370" i="1"/>
  <c r="C365" i="1"/>
  <c r="C360" i="1"/>
  <c r="C704" i="1"/>
  <c r="B706" i="1"/>
  <c r="B703" i="1" s="1"/>
  <c r="B702" i="1" s="1"/>
  <c r="C707" i="1"/>
  <c r="C706" i="1" s="1"/>
  <c r="C708" i="1"/>
  <c r="C710" i="1"/>
  <c r="C713" i="1"/>
  <c r="C714" i="1"/>
  <c r="C155" i="1"/>
  <c r="C238" i="1"/>
  <c r="C251" i="1"/>
  <c r="C198" i="1"/>
  <c r="C218" i="1"/>
  <c r="C310" i="1"/>
  <c r="C693" i="1" l="1"/>
  <c r="B694" i="1"/>
  <c r="C610" i="1"/>
  <c r="C668" i="1"/>
  <c r="C667" i="1" s="1"/>
  <c r="C396" i="1"/>
  <c r="C439" i="1"/>
  <c r="C450" i="1"/>
  <c r="C484" i="1"/>
  <c r="C428" i="1"/>
  <c r="C576" i="1"/>
  <c r="C587" i="1"/>
  <c r="C406" i="1"/>
  <c r="C518" i="1"/>
  <c r="C506" i="1" s="1"/>
  <c r="C598" i="1"/>
  <c r="C564" i="1"/>
  <c r="C541" i="1"/>
  <c r="C386" i="1"/>
  <c r="C461" i="1"/>
  <c r="C495" i="1"/>
  <c r="C575" i="1"/>
  <c r="C472" i="1"/>
  <c r="C633" i="1"/>
  <c r="C621" i="1" s="1"/>
  <c r="C417" i="1"/>
  <c r="C530" i="1"/>
  <c r="C529" i="1" s="1"/>
  <c r="C553" i="1"/>
  <c r="C359" i="1"/>
  <c r="C656" i="1"/>
  <c r="C644" i="1" s="1"/>
  <c r="C690" i="1"/>
  <c r="C712" i="1"/>
  <c r="C703" i="1"/>
  <c r="C702" i="1" s="1"/>
  <c r="C150" i="1"/>
  <c r="C483" i="1" l="1"/>
  <c r="C552" i="1"/>
  <c r="C726" i="1"/>
  <c r="C358" i="1" l="1"/>
  <c r="L80" i="11"/>
  <c r="C163" i="1"/>
  <c r="S65" i="11"/>
  <c r="P65" i="11"/>
  <c r="C729" i="1"/>
  <c r="H94" i="11"/>
  <c r="G94" i="11"/>
  <c r="E94" i="11"/>
  <c r="S99" i="11"/>
  <c r="R99" i="11"/>
  <c r="E99" i="11"/>
  <c r="S96" i="11"/>
  <c r="R96" i="11"/>
  <c r="E96" i="11"/>
  <c r="C160" i="1" l="1"/>
  <c r="C46" i="1"/>
  <c r="C32" i="3" l="1"/>
  <c r="C339" i="1" l="1"/>
  <c r="C337" i="1" l="1"/>
  <c r="G93" i="11" l="1"/>
  <c r="H93" i="11"/>
  <c r="E93" i="11"/>
  <c r="S100" i="11"/>
  <c r="R100" i="11"/>
  <c r="E100" i="11"/>
  <c r="S95" i="11"/>
  <c r="E95" i="11"/>
  <c r="R95" i="11"/>
  <c r="C262" i="1" l="1"/>
  <c r="J17" i="7" l="1"/>
  <c r="I17" i="7"/>
  <c r="I18" i="7"/>
  <c r="I16" i="7"/>
  <c r="I15" i="7"/>
  <c r="I14" i="7"/>
  <c r="I13" i="7"/>
  <c r="I12" i="7"/>
  <c r="I11" i="7"/>
  <c r="I10" i="7"/>
  <c r="C96" i="1" l="1"/>
  <c r="I79" i="11" l="1"/>
  <c r="G27" i="11"/>
  <c r="H27" i="11"/>
  <c r="O88" i="11" l="1"/>
  <c r="E11" i="3" l="1"/>
  <c r="C14" i="7" l="1"/>
  <c r="C18" i="7"/>
  <c r="E11" i="7" l="1"/>
  <c r="E12" i="7"/>
  <c r="E13" i="7"/>
  <c r="E14" i="7"/>
  <c r="E15" i="7"/>
  <c r="E16" i="7"/>
  <c r="E17" i="7"/>
  <c r="E18" i="7"/>
  <c r="D18" i="7" s="1"/>
  <c r="E10" i="7"/>
  <c r="D12" i="5"/>
  <c r="D16" i="5"/>
  <c r="G16" i="6"/>
  <c r="H16" i="6"/>
  <c r="I16" i="6"/>
  <c r="J16" i="6"/>
  <c r="M16" i="6"/>
  <c r="N16" i="6"/>
  <c r="O16" i="6"/>
  <c r="D16" i="6"/>
  <c r="E16" i="6"/>
  <c r="F16" i="6"/>
  <c r="D10" i="7" l="1"/>
  <c r="E9" i="7" l="1"/>
  <c r="G9" i="7"/>
  <c r="I9" i="7"/>
  <c r="J18" i="7"/>
  <c r="H18" i="7" s="1"/>
  <c r="K18" i="7" s="1"/>
  <c r="J16" i="7"/>
  <c r="J15" i="7"/>
  <c r="J14" i="7"/>
  <c r="J13" i="7"/>
  <c r="J12" i="7"/>
  <c r="J11" i="7"/>
  <c r="J10" i="7"/>
  <c r="H10" i="7" s="1"/>
  <c r="C8" i="10"/>
  <c r="D8" i="10"/>
  <c r="E8" i="10"/>
  <c r="D10" i="9"/>
  <c r="E9" i="10" s="1"/>
  <c r="E10" i="9"/>
  <c r="E10" i="10" s="1"/>
  <c r="F10" i="9"/>
  <c r="G10" i="9"/>
  <c r="H10" i="9"/>
  <c r="E13" i="10" s="1"/>
  <c r="I10" i="9"/>
  <c r="E14" i="10" s="1"/>
  <c r="J10" i="9"/>
  <c r="K10" i="9"/>
  <c r="E16" i="10" s="1"/>
  <c r="L10" i="9"/>
  <c r="E17" i="10" s="1"/>
  <c r="C10" i="9"/>
  <c r="E15" i="10"/>
  <c r="E12" i="10"/>
  <c r="E11" i="10"/>
  <c r="C7" i="8"/>
  <c r="C8" i="8"/>
  <c r="C9" i="8"/>
  <c r="C8" i="9"/>
  <c r="C7" i="9"/>
  <c r="C9" i="9"/>
  <c r="C6" i="9"/>
  <c r="R67" i="11"/>
  <c r="E76" i="11"/>
  <c r="C76" i="11" s="1"/>
  <c r="J75" i="11"/>
  <c r="J9" i="7" l="1"/>
  <c r="C731" i="1"/>
  <c r="C259" i="1" l="1"/>
  <c r="E81" i="11" l="1"/>
  <c r="C281" i="1"/>
  <c r="C213" i="1" l="1"/>
  <c r="C178" i="1"/>
  <c r="C173" i="1"/>
  <c r="C138" i="1"/>
  <c r="C104" i="1"/>
  <c r="C99" i="1"/>
  <c r="C100" i="1"/>
  <c r="C101" i="1"/>
  <c r="C102" i="1"/>
  <c r="C103" i="1"/>
  <c r="C64" i="1"/>
  <c r="C60" i="1"/>
  <c r="C53" i="1"/>
  <c r="C45" i="1"/>
  <c r="C39" i="1"/>
  <c r="C34" i="1"/>
  <c r="D92" i="11" l="1"/>
  <c r="D11" i="11" s="1"/>
  <c r="I92" i="11"/>
  <c r="J92" i="11"/>
  <c r="K92" i="11"/>
  <c r="F80" i="11" l="1"/>
  <c r="C80" i="11" s="1"/>
  <c r="C322" i="1"/>
  <c r="C304" i="1"/>
  <c r="C277" i="1"/>
  <c r="C270" i="1"/>
  <c r="C265" i="1"/>
  <c r="C249" i="1"/>
  <c r="C229" i="1"/>
  <c r="C209" i="1"/>
  <c r="C206" i="1"/>
  <c r="C194" i="1"/>
  <c r="C183" i="1"/>
  <c r="C57" i="1"/>
  <c r="C50" i="1"/>
  <c r="C27" i="1"/>
  <c r="D13" i="11" s="1"/>
  <c r="D10" i="11" s="1"/>
  <c r="F44" i="11"/>
  <c r="C44" i="11" s="1"/>
  <c r="F69" i="11"/>
  <c r="F75" i="11"/>
  <c r="C75" i="11" s="1"/>
  <c r="F77" i="11"/>
  <c r="G15" i="11"/>
  <c r="H15" i="11"/>
  <c r="G26" i="11"/>
  <c r="J26" i="11"/>
  <c r="K26" i="11"/>
  <c r="D40" i="11"/>
  <c r="E40" i="11"/>
  <c r="H40" i="11"/>
  <c r="K40" i="11"/>
  <c r="D68" i="11"/>
  <c r="G68" i="11"/>
  <c r="H68" i="11"/>
  <c r="F17" i="11"/>
  <c r="F18" i="11"/>
  <c r="F19" i="11"/>
  <c r="F20" i="11"/>
  <c r="F21" i="11"/>
  <c r="F22" i="11"/>
  <c r="F23" i="11"/>
  <c r="F24" i="11"/>
  <c r="F25" i="11"/>
  <c r="F28" i="11"/>
  <c r="F29" i="11"/>
  <c r="F30" i="11"/>
  <c r="F31" i="11"/>
  <c r="F32" i="11"/>
  <c r="F33" i="11"/>
  <c r="F34" i="11"/>
  <c r="F35" i="11"/>
  <c r="F37" i="11"/>
  <c r="F39" i="11"/>
  <c r="F65" i="11"/>
  <c r="F66" i="11"/>
  <c r="F67" i="11"/>
  <c r="F78" i="11"/>
  <c r="C78" i="11" s="1"/>
  <c r="F79" i="11"/>
  <c r="C79" i="11" s="1"/>
  <c r="F81" i="11"/>
  <c r="C81" i="11" s="1"/>
  <c r="F82" i="11"/>
  <c r="C82" i="11" s="1"/>
  <c r="F83" i="11"/>
  <c r="C83" i="11" s="1"/>
  <c r="F84" i="11"/>
  <c r="F85" i="11"/>
  <c r="F86" i="11"/>
  <c r="F88" i="11"/>
  <c r="C88" i="11" s="1"/>
  <c r="F89" i="11"/>
  <c r="C89" i="11" s="1"/>
  <c r="F90" i="11"/>
  <c r="C90" i="11" s="1"/>
  <c r="F91" i="11"/>
  <c r="C91" i="11" s="1"/>
  <c r="F16" i="11"/>
  <c r="F15" i="11" l="1"/>
  <c r="D15" i="11"/>
  <c r="I15" i="11"/>
  <c r="J15" i="11"/>
  <c r="K15" i="11"/>
  <c r="L15" i="11"/>
  <c r="M15" i="11"/>
  <c r="N15" i="11"/>
  <c r="O15" i="11"/>
  <c r="P15" i="11"/>
  <c r="Q15" i="11"/>
  <c r="R15" i="11"/>
  <c r="O40" i="11"/>
  <c r="P40" i="11"/>
  <c r="Q40" i="11"/>
  <c r="R40" i="11"/>
  <c r="S40" i="11"/>
  <c r="C65" i="11"/>
  <c r="C66" i="11"/>
  <c r="C67" i="11"/>
  <c r="S15" i="11"/>
  <c r="D26" i="11"/>
  <c r="L26" i="11"/>
  <c r="M26" i="11"/>
  <c r="N26" i="11"/>
  <c r="P26" i="11"/>
  <c r="Q26" i="11"/>
  <c r="R26" i="11"/>
  <c r="S26" i="11"/>
  <c r="I68" i="11"/>
  <c r="J68" i="11"/>
  <c r="K68" i="11"/>
  <c r="M68" i="11"/>
  <c r="N68" i="11"/>
  <c r="P68" i="11"/>
  <c r="Q68" i="11"/>
  <c r="O68" i="11"/>
  <c r="L87" i="11"/>
  <c r="E86" i="11"/>
  <c r="C86" i="11" s="1"/>
  <c r="E85" i="11"/>
  <c r="C85" i="11" s="1"/>
  <c r="E84" i="11"/>
  <c r="C84" i="11" s="1"/>
  <c r="L68" i="11" l="1"/>
  <c r="F87" i="11"/>
  <c r="C87" i="11" s="1"/>
  <c r="P14" i="11"/>
  <c r="P12" i="11" s="1"/>
  <c r="D14" i="11"/>
  <c r="K14" i="11"/>
  <c r="K12" i="11" s="1"/>
  <c r="Q14" i="11"/>
  <c r="Q12" i="11" s="1"/>
  <c r="R69" i="11"/>
  <c r="R68" i="11" s="1"/>
  <c r="E24" i="11"/>
  <c r="C24" i="11" s="1"/>
  <c r="R14" i="11" l="1"/>
  <c r="R12" i="11" s="1"/>
  <c r="E23" i="11"/>
  <c r="C23" i="11" s="1"/>
  <c r="E22" i="11"/>
  <c r="C22" i="11" s="1"/>
  <c r="O38" i="11"/>
  <c r="F38" i="11" s="1"/>
  <c r="I36" i="11"/>
  <c r="F27" i="11" l="1"/>
  <c r="H26" i="11"/>
  <c r="H14" i="11" s="1"/>
  <c r="I26" i="11"/>
  <c r="C332" i="1"/>
  <c r="F71" i="11"/>
  <c r="F68" i="11" s="1"/>
  <c r="H12" i="11" l="1"/>
  <c r="C71" i="11"/>
  <c r="C240" i="1" l="1"/>
  <c r="C234" i="1" l="1"/>
  <c r="O36" i="11"/>
  <c r="F36" i="11" s="1"/>
  <c r="F26" i="11" s="1"/>
  <c r="I64" i="11"/>
  <c r="I46" i="11"/>
  <c r="C90" i="1"/>
  <c r="O26" i="11" l="1"/>
  <c r="O14" i="11" s="1"/>
  <c r="O12" i="11" s="1"/>
  <c r="F46" i="11"/>
  <c r="C46" i="11" s="1"/>
  <c r="F64" i="11"/>
  <c r="C64" i="11" s="1"/>
  <c r="I54" i="11"/>
  <c r="I52" i="11"/>
  <c r="I48" i="11"/>
  <c r="I49" i="11"/>
  <c r="I53" i="11"/>
  <c r="I51" i="11"/>
  <c r="I47" i="11"/>
  <c r="I50" i="11"/>
  <c r="I56" i="11"/>
  <c r="I59" i="11"/>
  <c r="I60" i="11"/>
  <c r="I58" i="11"/>
  <c r="I57" i="11"/>
  <c r="I61" i="11"/>
  <c r="I55" i="11"/>
  <c r="I63" i="11"/>
  <c r="I62" i="11"/>
  <c r="C319" i="1"/>
  <c r="C317" i="1" l="1"/>
  <c r="F52" i="11"/>
  <c r="C52" i="11" s="1"/>
  <c r="F59" i="11"/>
  <c r="C59" i="11" s="1"/>
  <c r="F53" i="11"/>
  <c r="C53" i="11" s="1"/>
  <c r="F54" i="11"/>
  <c r="C54" i="11" s="1"/>
  <c r="F56" i="11"/>
  <c r="C56" i="11" s="1"/>
  <c r="F63" i="11"/>
  <c r="C63" i="11" s="1"/>
  <c r="F58" i="11"/>
  <c r="C58" i="11" s="1"/>
  <c r="F60" i="11"/>
  <c r="C60" i="11" s="1"/>
  <c r="F50" i="11"/>
  <c r="C50" i="11" s="1"/>
  <c r="F55" i="11"/>
  <c r="C55" i="11" s="1"/>
  <c r="F51" i="11"/>
  <c r="C51" i="11" s="1"/>
  <c r="F49" i="11"/>
  <c r="C49" i="11" s="1"/>
  <c r="F62" i="11"/>
  <c r="C62" i="11" s="1"/>
  <c r="F61" i="11"/>
  <c r="C61" i="11" s="1"/>
  <c r="F47" i="11"/>
  <c r="C47" i="11" s="1"/>
  <c r="F48" i="11"/>
  <c r="C48" i="11" s="1"/>
  <c r="F57" i="11"/>
  <c r="C57" i="11" s="1"/>
  <c r="C91" i="1"/>
  <c r="C147" i="1"/>
  <c r="C190" i="1"/>
  <c r="C245" i="1"/>
  <c r="C256" i="1"/>
  <c r="C144" i="1" l="1"/>
  <c r="C254" i="1"/>
  <c r="C243" i="1"/>
  <c r="C188" i="1"/>
  <c r="C83" i="1"/>
  <c r="C203" i="1"/>
  <c r="C169" i="1"/>
  <c r="C135" i="1"/>
  <c r="C157" i="1"/>
  <c r="C224" i="1"/>
  <c r="C222" i="1" l="1"/>
  <c r="C132" i="1"/>
  <c r="C167" i="1"/>
  <c r="C201" i="1"/>
  <c r="B97" i="1"/>
  <c r="B82" i="1" s="1"/>
  <c r="B357" i="1" l="1"/>
  <c r="C733" i="1"/>
  <c r="S77" i="11" s="1"/>
  <c r="C77" i="11" s="1"/>
  <c r="B354" i="1"/>
  <c r="B351" i="1" s="1"/>
  <c r="C349" i="1"/>
  <c r="B347" i="1"/>
  <c r="B344" i="1" s="1"/>
  <c r="B340" i="1"/>
  <c r="B336" i="1" s="1"/>
  <c r="B320" i="1"/>
  <c r="B316" i="1" s="1"/>
  <c r="B315" i="1" s="1"/>
  <c r="B74" i="1"/>
  <c r="B308" i="1"/>
  <c r="B303" i="1" s="1"/>
  <c r="B279" i="1"/>
  <c r="B276" i="1" s="1"/>
  <c r="B268" i="1"/>
  <c r="B264" i="1" s="1"/>
  <c r="B257" i="1"/>
  <c r="B253" i="1" s="1"/>
  <c r="B247" i="1"/>
  <c r="B242" i="1" s="1"/>
  <c r="B211" i="1"/>
  <c r="B208" i="1" s="1"/>
  <c r="B204" i="1"/>
  <c r="B200" i="1" s="1"/>
  <c r="B192" i="1"/>
  <c r="B187" i="1" s="1"/>
  <c r="B181" i="1"/>
  <c r="B177" i="1" s="1"/>
  <c r="B136" i="1"/>
  <c r="B131" i="1" s="1"/>
  <c r="B148" i="1"/>
  <c r="B143" i="1" s="1"/>
  <c r="B161" i="1"/>
  <c r="B156" i="1" s="1" a="1"/>
  <c r="B156" i="1" s="1"/>
  <c r="B171" i="1"/>
  <c r="B166" i="1" s="1"/>
  <c r="B263" i="1" l="1"/>
  <c r="B130" i="1" s="1"/>
  <c r="C341" i="1" l="1"/>
  <c r="C38" i="1"/>
  <c r="C49" i="1"/>
  <c r="C48" i="1" s="1"/>
  <c r="C56" i="1"/>
  <c r="C55" i="1" s="1"/>
  <c r="C63" i="1"/>
  <c r="C68" i="1"/>
  <c r="C71" i="1"/>
  <c r="C78" i="1"/>
  <c r="C81" i="1"/>
  <c r="C98" i="1"/>
  <c r="C137" i="1"/>
  <c r="C149" i="1"/>
  <c r="C162" i="1"/>
  <c r="C172" i="1"/>
  <c r="C171" i="1" s="1"/>
  <c r="C182" i="1"/>
  <c r="C193" i="1"/>
  <c r="C205" i="1"/>
  <c r="C212" i="1"/>
  <c r="C227" i="1"/>
  <c r="C233" i="1"/>
  <c r="C269" i="1"/>
  <c r="C280" i="1"/>
  <c r="C309" i="1"/>
  <c r="C248" i="1"/>
  <c r="C258" i="1"/>
  <c r="C321" i="1"/>
  <c r="C331" i="1"/>
  <c r="C325" i="1" s="1"/>
  <c r="C342" i="1"/>
  <c r="C345" i="1"/>
  <c r="C348" i="1"/>
  <c r="C352" i="1"/>
  <c r="C355" i="1"/>
  <c r="E25" i="11" l="1"/>
  <c r="C25" i="11" s="1"/>
  <c r="C192" i="1"/>
  <c r="C187" i="1" s="1"/>
  <c r="E32" i="11" s="1"/>
  <c r="C32" i="11" s="1"/>
  <c r="C268" i="1"/>
  <c r="C161" i="1"/>
  <c r="C156" i="1" s="1"/>
  <c r="E29" i="11" s="1"/>
  <c r="C29" i="11" s="1"/>
  <c r="C62" i="1"/>
  <c r="C59" i="1" s="1"/>
  <c r="E19" i="11" s="1"/>
  <c r="C19" i="11" s="1"/>
  <c r="C354" i="1"/>
  <c r="C308" i="1"/>
  <c r="C303" i="1" s="1"/>
  <c r="C347" i="1"/>
  <c r="C344" i="1" s="1"/>
  <c r="C232" i="1"/>
  <c r="C228" i="1" s="1"/>
  <c r="E36" i="11" s="1"/>
  <c r="C36" i="11" s="1"/>
  <c r="C148" i="1"/>
  <c r="C143" i="1" s="1"/>
  <c r="E28" i="11" s="1"/>
  <c r="C28" i="11" s="1"/>
  <c r="C181" i="1"/>
  <c r="C177" i="1" s="1"/>
  <c r="E31" i="11" s="1"/>
  <c r="C31" i="11" s="1"/>
  <c r="C166" i="1"/>
  <c r="E30" i="11" s="1"/>
  <c r="C30" i="11" s="1"/>
  <c r="C226" i="1"/>
  <c r="C221" i="1" s="1"/>
  <c r="E35" i="11" s="1"/>
  <c r="C35" i="11" s="1"/>
  <c r="C320" i="1"/>
  <c r="C316" i="1" s="1"/>
  <c r="C211" i="1"/>
  <c r="C208" i="1" s="1"/>
  <c r="E34" i="11" s="1"/>
  <c r="C34" i="11" s="1"/>
  <c r="C247" i="1"/>
  <c r="C242" i="1" s="1"/>
  <c r="C70" i="1"/>
  <c r="C279" i="1"/>
  <c r="C276" i="1" s="1"/>
  <c r="C136" i="1"/>
  <c r="C131" i="1" s="1"/>
  <c r="C257" i="1"/>
  <c r="C253" i="1" s="1"/>
  <c r="E38" i="11" s="1"/>
  <c r="C38" i="11" s="1"/>
  <c r="C204" i="1"/>
  <c r="C200" i="1" s="1"/>
  <c r="E33" i="11" s="1"/>
  <c r="C33" i="11" s="1"/>
  <c r="C340" i="1"/>
  <c r="C336" i="1" s="1"/>
  <c r="C97" i="1"/>
  <c r="C52" i="1"/>
  <c r="E18" i="11" s="1"/>
  <c r="C18" i="11" s="1"/>
  <c r="C44" i="1"/>
  <c r="C37" i="1"/>
  <c r="C74" i="1"/>
  <c r="C72" i="1"/>
  <c r="G41" i="11" l="1"/>
  <c r="C315" i="1"/>
  <c r="C351" i="1"/>
  <c r="L43" i="11" s="1"/>
  <c r="L40" i="11" s="1"/>
  <c r="C82" i="1"/>
  <c r="E21" i="11" s="1"/>
  <c r="C21" i="11" s="1"/>
  <c r="E27" i="11"/>
  <c r="C27" i="11" s="1"/>
  <c r="C67" i="1"/>
  <c r="C33" i="1"/>
  <c r="E16" i="11" s="1"/>
  <c r="N43" i="11"/>
  <c r="N40" i="11" s="1"/>
  <c r="N14" i="11" s="1"/>
  <c r="N12" i="11" s="1"/>
  <c r="J42" i="11"/>
  <c r="E68" i="11"/>
  <c r="M43" i="11"/>
  <c r="M40" i="11" s="1"/>
  <c r="M14" i="11" s="1"/>
  <c r="M12" i="11" s="1"/>
  <c r="E37" i="11"/>
  <c r="C37" i="11" s="1"/>
  <c r="C264" i="1"/>
  <c r="C335" i="1" l="1"/>
  <c r="C32" i="1"/>
  <c r="E20" i="11"/>
  <c r="C20" i="11" s="1"/>
  <c r="F43" i="11"/>
  <c r="C16" i="11"/>
  <c r="J40" i="11"/>
  <c r="J14" i="11" s="1"/>
  <c r="J12" i="11" s="1"/>
  <c r="F42" i="11"/>
  <c r="E17" i="11"/>
  <c r="C17" i="11" s="1"/>
  <c r="F41" i="11"/>
  <c r="G40" i="11"/>
  <c r="G14" i="11" s="1"/>
  <c r="G12" i="11" s="1"/>
  <c r="L14" i="11"/>
  <c r="L12" i="11" s="1"/>
  <c r="C263" i="1"/>
  <c r="C130" i="1" s="1"/>
  <c r="E15" i="11" l="1"/>
  <c r="C31" i="1"/>
  <c r="E39" i="11"/>
  <c r="C39" i="11" s="1"/>
  <c r="E26" i="11" l="1"/>
  <c r="K11" i="11"/>
  <c r="J11" i="11"/>
  <c r="I11" i="11"/>
  <c r="S68" i="11"/>
  <c r="S14" i="11" s="1"/>
  <c r="E14" i="11" l="1"/>
  <c r="E12" i="11" s="1"/>
  <c r="C15" i="11"/>
  <c r="C69" i="11"/>
  <c r="C68" i="11" s="1"/>
  <c r="C43" i="11"/>
  <c r="C42" i="11"/>
  <c r="C41" i="11" l="1"/>
  <c r="P10" i="11"/>
  <c r="K10" i="11"/>
  <c r="K9" i="11" s="1"/>
  <c r="O10" i="11"/>
  <c r="J10" i="11"/>
  <c r="R10" i="11"/>
  <c r="Q10" i="11"/>
  <c r="N10" i="11"/>
  <c r="M10" i="11"/>
  <c r="S12" i="11"/>
  <c r="S10" i="11" s="1"/>
  <c r="L10" i="11"/>
  <c r="H10" i="11"/>
  <c r="G10" i="11"/>
  <c r="J9" i="11" l="1"/>
  <c r="E10" i="11"/>
  <c r="C26" i="11"/>
  <c r="F14" i="7" l="1"/>
  <c r="L7" i="6" l="1"/>
  <c r="C7" i="6" s="1"/>
  <c r="C10" i="7" l="1"/>
  <c r="D8" i="5"/>
  <c r="E24" i="3"/>
  <c r="E16" i="3"/>
  <c r="E20" i="3"/>
  <c r="E23" i="3"/>
  <c r="E22" i="3"/>
  <c r="E18" i="3"/>
  <c r="F10" i="7" l="1"/>
  <c r="G13" i="10"/>
  <c r="I8" i="10"/>
  <c r="D14" i="7"/>
  <c r="D11" i="7"/>
  <c r="H11" i="7" s="1"/>
  <c r="H14" i="7" l="1"/>
  <c r="C28" i="3"/>
  <c r="K11" i="7" l="1"/>
  <c r="A3" i="5"/>
  <c r="A3" i="6" s="1"/>
  <c r="A3" i="7" s="1"/>
  <c r="A3" i="8" s="1"/>
  <c r="R23" i="6"/>
  <c r="Q23" i="6"/>
  <c r="P23" i="6"/>
  <c r="O23" i="6"/>
  <c r="N23" i="6"/>
  <c r="M23" i="6"/>
  <c r="K23" i="6"/>
  <c r="J23" i="6"/>
  <c r="I23" i="6"/>
  <c r="H23" i="6"/>
  <c r="G23" i="6"/>
  <c r="F23" i="6"/>
  <c r="E23" i="6"/>
  <c r="D23" i="6"/>
  <c r="L22" i="6"/>
  <c r="C22" i="6"/>
  <c r="L21" i="6"/>
  <c r="C21" i="6" s="1"/>
  <c r="L20" i="6"/>
  <c r="C20" i="6" s="1"/>
  <c r="L19" i="6"/>
  <c r="C19" i="6" s="1"/>
  <c r="L18" i="6"/>
  <c r="L17" i="6"/>
  <c r="C17" i="6" s="1"/>
  <c r="R16" i="6"/>
  <c r="Q16" i="6"/>
  <c r="P16" i="6"/>
  <c r="L14" i="6"/>
  <c r="K14" i="6"/>
  <c r="L15" i="6"/>
  <c r="C15" i="6" s="1"/>
  <c r="L12" i="6"/>
  <c r="C12" i="6" s="1"/>
  <c r="L8" i="6"/>
  <c r="L9" i="6"/>
  <c r="C9" i="6" s="1"/>
  <c r="L13" i="6"/>
  <c r="L10" i="6"/>
  <c r="K10" i="6"/>
  <c r="K16" i="6" s="1"/>
  <c r="L11" i="6"/>
  <c r="C11" i="6" s="1"/>
  <c r="F18" i="7"/>
  <c r="C31" i="3"/>
  <c r="C27" i="3" s="1"/>
  <c r="C7" i="3"/>
  <c r="D16" i="7"/>
  <c r="H16" i="7" s="1"/>
  <c r="D13" i="7"/>
  <c r="H13" i="7" s="1"/>
  <c r="D15" i="7"/>
  <c r="H15" i="7" s="1"/>
  <c r="D17" i="7"/>
  <c r="H17" i="7" s="1"/>
  <c r="D12" i="7"/>
  <c r="H12" i="7" s="1"/>
  <c r="C12" i="7" l="1"/>
  <c r="D10" i="5"/>
  <c r="C15" i="7"/>
  <c r="D13" i="5"/>
  <c r="L16" i="6"/>
  <c r="D9" i="7"/>
  <c r="A3" i="10"/>
  <c r="A3" i="11" s="1"/>
  <c r="C8" i="6"/>
  <c r="C13" i="6"/>
  <c r="F24" i="6"/>
  <c r="J24" i="6"/>
  <c r="G24" i="6"/>
  <c r="C10" i="6"/>
  <c r="C14" i="6"/>
  <c r="O24" i="6"/>
  <c r="P24" i="6"/>
  <c r="K24" i="6"/>
  <c r="L23" i="6"/>
  <c r="D24" i="6"/>
  <c r="H24" i="6"/>
  <c r="M24" i="6"/>
  <c r="Q24" i="6"/>
  <c r="E24" i="6"/>
  <c r="I24" i="6"/>
  <c r="N24" i="6"/>
  <c r="R24" i="6"/>
  <c r="C18" i="6"/>
  <c r="C23" i="6" s="1"/>
  <c r="C26" i="3"/>
  <c r="F12" i="7" l="1"/>
  <c r="C17" i="7"/>
  <c r="D15" i="5"/>
  <c r="C16" i="7"/>
  <c r="D14" i="5"/>
  <c r="C16" i="6"/>
  <c r="C24" i="6" s="1"/>
  <c r="C13" i="7"/>
  <c r="D11" i="5"/>
  <c r="H9" i="7"/>
  <c r="C11" i="7"/>
  <c r="D9" i="5"/>
  <c r="D17" i="5" s="1"/>
  <c r="F15" i="7"/>
  <c r="L24" i="6"/>
  <c r="C9" i="7" l="1"/>
  <c r="F17" i="7"/>
  <c r="F16" i="7"/>
  <c r="F13" i="7"/>
  <c r="F11" i="7"/>
  <c r="C11" i="10"/>
  <c r="C16" i="10"/>
  <c r="C14" i="10"/>
  <c r="C10" i="10"/>
  <c r="C12" i="10"/>
  <c r="C17" i="10"/>
  <c r="C15" i="10"/>
  <c r="F8" i="10"/>
  <c r="C13" i="10"/>
  <c r="C9" i="10"/>
  <c r="K12" i="7"/>
  <c r="K17" i="7"/>
  <c r="K15" i="7"/>
  <c r="K10" i="7"/>
  <c r="K13" i="7"/>
  <c r="K16" i="7"/>
  <c r="K14" i="7"/>
  <c r="C10" i="5"/>
  <c r="C15" i="5"/>
  <c r="C13" i="5"/>
  <c r="C8" i="5"/>
  <c r="C9" i="5"/>
  <c r="C11" i="5"/>
  <c r="C16" i="5"/>
  <c r="C14" i="5"/>
  <c r="C12" i="5"/>
  <c r="F9" i="7" l="1"/>
  <c r="C17" i="5"/>
  <c r="K9" i="7"/>
  <c r="C6" i="8"/>
  <c r="C10" i="8" s="1"/>
  <c r="B335" i="1" l="1"/>
  <c r="B59" i="1"/>
  <c r="B52" i="1"/>
  <c r="B34" i="1"/>
  <c r="B33" i="1" s="1"/>
  <c r="B32" i="1" l="1"/>
  <c r="B31" i="1" l="1"/>
  <c r="B30" i="1" s="1"/>
  <c r="I45" i="11" l="1"/>
  <c r="F45" i="11" s="1"/>
  <c r="F40" i="11" s="1"/>
  <c r="F14" i="11" s="1"/>
  <c r="F12" i="11" s="1"/>
  <c r="I40" i="11" l="1"/>
  <c r="C357" i="1"/>
  <c r="C30" i="1" l="1"/>
  <c r="I14" i="11"/>
  <c r="I12" i="11" s="1"/>
  <c r="I10" i="11" s="1"/>
  <c r="C45" i="11"/>
  <c r="C40" i="11" s="1"/>
  <c r="C14" i="11" s="1"/>
  <c r="C26" i="1" l="1"/>
  <c r="I9" i="11"/>
  <c r="F10" i="11"/>
  <c r="D9" i="11" l="1"/>
  <c r="C13" i="11"/>
  <c r="C12" i="11" s="1"/>
  <c r="C10" i="11" s="1"/>
  <c r="D12" i="11"/>
  <c r="N97" i="11" l="1"/>
  <c r="N101" i="11"/>
  <c r="N96" i="11"/>
  <c r="M97" i="11"/>
  <c r="M95" i="11"/>
  <c r="M93" i="11"/>
  <c r="E101" i="11"/>
  <c r="E97" i="11"/>
  <c r="N100" i="11"/>
  <c r="M94" i="11"/>
  <c r="E98" i="11"/>
  <c r="M98" i="11"/>
  <c r="N99" i="11"/>
  <c r="M101" i="11"/>
  <c r="N94" i="11"/>
  <c r="N98" i="11"/>
  <c r="M99" i="11"/>
  <c r="N95" i="11"/>
  <c r="M100" i="11"/>
  <c r="N93" i="11"/>
  <c r="L96" i="11"/>
  <c r="M96" i="11"/>
  <c r="M92" i="11" l="1"/>
  <c r="M11" i="11" s="1"/>
  <c r="N92" i="11"/>
  <c r="N11" i="11" s="1"/>
  <c r="L94" i="11"/>
  <c r="O97" i="11"/>
  <c r="L95" i="11"/>
  <c r="L97" i="11"/>
  <c r="L93" i="11"/>
  <c r="L98" i="11"/>
  <c r="O98" i="11"/>
  <c r="O96" i="11"/>
  <c r="M9" i="11" l="1"/>
  <c r="L99" i="11"/>
  <c r="N9" i="11"/>
  <c r="O95" i="11"/>
  <c r="E92" i="11"/>
  <c r="E11" i="11" s="1"/>
  <c r="L101" i="11"/>
  <c r="O94" i="11"/>
  <c r="Q95" i="11"/>
  <c r="O99" i="11"/>
  <c r="O101" i="11"/>
  <c r="L100" i="11"/>
  <c r="O100" i="11"/>
  <c r="O93" i="11"/>
  <c r="Q98" i="11"/>
  <c r="Q97" i="11"/>
  <c r="Q96" i="11"/>
  <c r="L92" i="11" l="1"/>
  <c r="L11" i="11" s="1"/>
  <c r="O92" i="11"/>
  <c r="O11" i="11" s="1"/>
  <c r="O9" i="11" s="1"/>
  <c r="E9" i="11"/>
  <c r="Q94" i="11"/>
  <c r="Q101" i="11"/>
  <c r="P95" i="11"/>
  <c r="Q99" i="11"/>
  <c r="Q100" i="11"/>
  <c r="Q93" i="11"/>
  <c r="P94" i="11"/>
  <c r="P97" i="11"/>
  <c r="P96" i="11"/>
  <c r="L9" i="11" l="1"/>
  <c r="Q92" i="11"/>
  <c r="Q11" i="11" s="1"/>
  <c r="P101" i="11"/>
  <c r="P99" i="11"/>
  <c r="G95" i="11"/>
  <c r="P100" i="11"/>
  <c r="P93" i="11"/>
  <c r="P98" i="11"/>
  <c r="G97" i="11"/>
  <c r="G96" i="11"/>
  <c r="Q9" i="11" l="1"/>
  <c r="P92" i="11"/>
  <c r="P11" i="11" s="1"/>
  <c r="P9" i="11" s="1"/>
  <c r="G99" i="11"/>
  <c r="G101" i="11"/>
  <c r="G100" i="11"/>
  <c r="F94" i="11"/>
  <c r="G98" i="11"/>
  <c r="H95" i="11"/>
  <c r="F95" i="11" s="1"/>
  <c r="H97" i="11"/>
  <c r="F97" i="11" s="1"/>
  <c r="G92" i="11" l="1"/>
  <c r="G11" i="11" s="1"/>
  <c r="S97" i="11"/>
  <c r="R97" i="11"/>
  <c r="S94" i="11"/>
  <c r="R94" i="11"/>
  <c r="C94" i="11" s="1"/>
  <c r="H96" i="11"/>
  <c r="F96" i="11" s="1"/>
  <c r="C97" i="11" l="1"/>
  <c r="C95" i="11"/>
  <c r="G9" i="11"/>
  <c r="H101" i="11"/>
  <c r="F101" i="11" s="1"/>
  <c r="H99" i="11"/>
  <c r="F99" i="11" s="1"/>
  <c r="H100" i="11"/>
  <c r="F100" i="11" s="1"/>
  <c r="H98" i="11"/>
  <c r="F98" i="11" s="1"/>
  <c r="C96" i="11" l="1"/>
  <c r="H92" i="11"/>
  <c r="H11" i="11" s="1"/>
  <c r="F93" i="11"/>
  <c r="S93" i="11"/>
  <c r="R93" i="11"/>
  <c r="S98" i="11"/>
  <c r="R98" i="11"/>
  <c r="S101" i="11"/>
  <c r="R101" i="11"/>
  <c r="C98" i="11" l="1"/>
  <c r="C101" i="11"/>
  <c r="C100" i="11"/>
  <c r="C99" i="11"/>
  <c r="R92" i="11"/>
  <c r="R11" i="11" s="1"/>
  <c r="S92" i="11"/>
  <c r="S11" i="11" s="1"/>
  <c r="F92" i="11"/>
  <c r="F11" i="11" s="1"/>
  <c r="F9" i="11" s="1"/>
  <c r="C93" i="11"/>
  <c r="H9" i="11"/>
  <c r="C92" i="11" l="1"/>
  <c r="S9" i="11"/>
  <c r="R9" i="11"/>
  <c r="C735" i="1" l="1"/>
  <c r="C11" i="11"/>
  <c r="C9" i="11" l="1"/>
  <c r="C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6" authorId="0" shapeId="0" xr:uid="{00000000-0006-0000-0700-000001000000}">
      <text>
        <r>
          <rPr>
            <b/>
            <sz val="9"/>
            <color indexed="81"/>
            <rFont val="Tahoma"/>
            <family val="2"/>
          </rPr>
          <t xml:space="preserve">Hỗ trợ 1 chi bộ là 10.846.000 đồng/1 chi bộ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<sst xmlns="http://schemas.openxmlformats.org/spreadsheetml/2006/main" count="1123" uniqueCount="610">
  <si>
    <t xml:space="preserve">        A/ Cơ sở tính dự toán:</t>
  </si>
  <si>
    <t xml:space="preserve">        1/ Căn cứ tính dự toán:</t>
  </si>
  <si>
    <t xml:space="preserve">        2/ Cơ sở xác định nguồn :</t>
  </si>
  <si>
    <t xml:space="preserve">        - Đinh mức chi hoạt động cấp huyện 29,7 triệu đồng/biên chế hành chính, sự nghiệp. Đã trừ 10% tiết kiệm chi.</t>
  </si>
  <si>
    <t xml:space="preserve">        - Đinh mức chi hoạt động cấp xã 22 triệu đồng/biên chế. Chưa trừ tiết kiệm chi.</t>
  </si>
  <si>
    <t xml:space="preserve">                                                                                                                        </t>
  </si>
  <si>
    <t>ĐVT:  đồng</t>
  </si>
  <si>
    <t>ĐƠN VỊ</t>
  </si>
  <si>
    <t>Ghi chú</t>
  </si>
  <si>
    <t>Phần I. Chi ngân sách huyện</t>
  </si>
  <si>
    <t>A/ CHI ĐẦU TƯ PHÁT TRIỂN</t>
  </si>
  <si>
    <t>- Phần vốn phân cấp ngân sách huyện (có Tờ trình xin phân bổ)</t>
  </si>
  <si>
    <t>- Phần vốn từ nguồn thu tiền sử dụng đất</t>
  </si>
  <si>
    <t>a. Các khoản chi cho con người</t>
  </si>
  <si>
    <t>- Phụ cấp cấp ủy chi bộ</t>
  </si>
  <si>
    <t>- Phụ cấp ủy viên Mặt trận theo Quyết định số 33/QĐ-TTg</t>
  </si>
  <si>
    <t>b. Định mức chi hoạt động biên chế</t>
  </si>
  <si>
    <t>- Định mức chi hoạt động biên chế có mặt</t>
  </si>
  <si>
    <t>c. Những nhiệm vụ trọng tâm trong năm</t>
  </si>
  <si>
    <t>- Kinh phí thực hiện NQ 02/2014/NQ-HĐND ngày 29/4/2021 của HĐND tỉnh Quảng Ngãi</t>
  </si>
  <si>
    <t>- Tiền điện khối nhà làm việc Mặt trận và đoàn thể</t>
  </si>
  <si>
    <t>- Họp cụm, hoạt động cuộc vận động nông thôn mới đô thị văn minh (TT 121), quỹ hoạt động người nghèo, ngày hội đoàn kết dân tộc 18/11, tổ chức giám sát và phản biện xã hội, tiếp nhận hàng viện trợ và một số hoạt động khác</t>
  </si>
  <si>
    <t xml:space="preserve">2. Huyện đoàn : </t>
  </si>
  <si>
    <t xml:space="preserve">- Kinh phí hoạt động cơ sở đảng theo Quyết định số 99-QĐ/TW </t>
  </si>
  <si>
    <t>- Giám sát, phản biện, Kỷ niệm ngày Quốc tế phụ nữ 08/3, 20/10; kinh phí theo đề án 938 và đề án 939; giám sát phản biện, tổng kết, KP tổ chức các đợt tập huấn và các hội thi; tham gia trực báo cụm và các hoạt động khác.</t>
  </si>
  <si>
    <t>- Quỹ hỗ trợ nông dân (Quyết định 78 ngày 13/01/2012)</t>
  </si>
  <si>
    <t>5. Hội Cựu Chiến binh:</t>
  </si>
  <si>
    <t>6. Hội có tính chất đặc thù</t>
  </si>
  <si>
    <t>- Hội Nạn nhân chất độc da cam/Dioxin</t>
  </si>
  <si>
    <t>- Hội Khuyến học</t>
  </si>
  <si>
    <t>- Hội Người cao tuổi</t>
  </si>
  <si>
    <t>- Hỗ trợ hoạt động các tổ chức hội (12 triệu đồng/hội)</t>
  </si>
  <si>
    <t>- Hội chữ thập đỏ</t>
  </si>
  <si>
    <t>- Kinh phí hoạt động cơ sở đảng theo QĐ 99-QĐ/TW (Chi bộ Tuyên giáo Dân vận)</t>
  </si>
  <si>
    <t>- Định mức chi hoạt động (TT Huyện ủy)</t>
  </si>
  <si>
    <t>- Định mức chi hoạt động biên chế có mặt (Ban Dân vận)</t>
  </si>
  <si>
    <t>- Định mức chi hoạt động biên chế có mặt (Ban Tuyên giáo)</t>
  </si>
  <si>
    <t>- Định mức chi hoạt động biên chế có mặt (UBKT)</t>
  </si>
  <si>
    <t>- Tiền ăn, tiền bồi dưỡng, trang phục cơ yếu</t>
  </si>
  <si>
    <t>- Điện thoại lãnh đạo</t>
  </si>
  <si>
    <t>- Phụ cấp báo cáo viên</t>
  </si>
  <si>
    <t>- Bảo hiểm xe ô tô (02 xe)</t>
  </si>
  <si>
    <t>- Nhiên liệu ô tô phục vụ hoạt động của lãnh đạo</t>
  </si>
  <si>
    <t>- Trang phục hàng năm theo QĐ 1223 của TU (26 người x 250.000đ)</t>
  </si>
  <si>
    <t>- Công tác người có uy tín …</t>
  </si>
  <si>
    <t xml:space="preserve">- Tiếp khách của lãnh đạo </t>
  </si>
  <si>
    <t>- Phụ cấp ban chấp hành</t>
  </si>
  <si>
    <t>- Phụ cấp cộng tác viên</t>
  </si>
  <si>
    <t>- Phụ cấp kiêm chức</t>
  </si>
  <si>
    <t>- Kinh phí phục vụ các hoạt động trong dịp Tết của Lãnh đạo</t>
  </si>
  <si>
    <t xml:space="preserve">- VPP và các khoản chi hoạt động khác  </t>
  </si>
  <si>
    <t>- Kinh phí trực báo cụm</t>
  </si>
  <si>
    <t>- Hoạt động khác của BTV, TT, thăm hỏi, hỗ trợ, đi công tác…</t>
  </si>
  <si>
    <t>- Tiền xăng chạy máy phát điện</t>
  </si>
  <si>
    <t>- Tiền điện thắp sáng nhà làm việc Huyện ủy</t>
  </si>
  <si>
    <t>- Cước phí đường truyền Internet</t>
  </si>
  <si>
    <t>- Hội nghị truyền hình trực tuyến (CV 6018/UBND-KGVX 10/11/2021)</t>
  </si>
  <si>
    <t>- Kinh phí sửa xe ô tô</t>
  </si>
  <si>
    <t>*** QUẢN LÝ HÀNH CHÍNH:</t>
  </si>
  <si>
    <t>1 . Phòng Tài nguyên - Môi trường :</t>
  </si>
  <si>
    <t>- Kinh phí hoạt động cơ sở đảng theo QĐ 99-QĐ/TW</t>
  </si>
  <si>
    <t xml:space="preserve">- Kinh phí hoạt động cơ sở đảng theo QĐ 99-QĐ/TW </t>
  </si>
  <si>
    <t>- Chi phí nghiệp vụ ngành</t>
  </si>
  <si>
    <t>- Trang phục cho thanh tra viên</t>
  </si>
  <si>
    <t>- Tập huấn công tác thanh tra (có xã)</t>
  </si>
  <si>
    <t>- Hoạt động của các Ban chỉ đạo (4 ban)</t>
  </si>
  <si>
    <t xml:space="preserve">6. Phòng Nội vụ </t>
  </si>
  <si>
    <t>- Hoạt động của các Ban chỉ đạo</t>
  </si>
  <si>
    <t>- Định mức chi hoạt động biên chế</t>
  </si>
  <si>
    <t>- Kinh phí thẩm định dự án</t>
  </si>
  <si>
    <t>- Chi phí chi trả trợ cấp BTXH theo Quyết định số 20/QĐ-UBND ngày 01/6/2022 của UBND tỉnh</t>
  </si>
  <si>
    <t>11.1 HĐND :</t>
  </si>
  <si>
    <t>- Các hoạt động HĐND theo NQ 06 và NQ 41 của HĐND</t>
  </si>
  <si>
    <t>- Nhiên liệu ô tô phục vụ hoạt động của TT HĐND</t>
  </si>
  <si>
    <t>- Điện thoại lãnh đạo theo tiêu chuẩn</t>
  </si>
  <si>
    <t>- Chế độ kiêm nhiệm cho CT HĐND huyện và ban kiêm nhiệm và hoạt động khác</t>
  </si>
  <si>
    <t>11.2 UBND huyện :</t>
  </si>
  <si>
    <t>- Dầu chạy máy nổ</t>
  </si>
  <si>
    <t>- Các cuộc họp và trực báo</t>
  </si>
  <si>
    <t>- Tiếp khách của lãnh đạo</t>
  </si>
  <si>
    <t xml:space="preserve">- Bảo hiểm xe ô tô </t>
  </si>
  <si>
    <t>- Trang thông tin điện tử huyện Sơn Tây</t>
  </si>
  <si>
    <t>- Xây dựng văn bản quy phạm pháp luật</t>
  </si>
  <si>
    <t>- Đường truyền Internet nhà làm việc UBND huyện</t>
  </si>
  <si>
    <t>- Hỗ trợ cán bộ tiếp công dân và xử lý đơn thư</t>
  </si>
  <si>
    <t>- Hội nghị truyền hình trực tuyến</t>
  </si>
  <si>
    <t>- Lương theo hợp đồng NĐ 111/NĐ-CP</t>
  </si>
  <si>
    <t>- Trả tiền điện thắp sáng nhà làm việc UB và các khoản khác</t>
  </si>
  <si>
    <t>- Nghiệp vụ ngành; công tác kiểm tra kết quả thực hiện công tác dân tộc và số nhiệm vụ khác</t>
  </si>
  <si>
    <t>II/ Sự nghiệp kinh tế</t>
  </si>
  <si>
    <t>- Công tác Thú y (phòng chống dịch bệnh cho gia xúc, gia cầm)</t>
  </si>
  <si>
    <t>- Công tác Nông nghiệp</t>
  </si>
  <si>
    <t>- Công tác Khuyến nông, thú y, bảo vệ thực vật</t>
  </si>
  <si>
    <t>- Hỗ trợ bảo vệ và phát triển đất trồng lúa theo NĐ 35</t>
  </si>
  <si>
    <t>- Cấp bù thủy lợi phí</t>
  </si>
  <si>
    <t>- Thu gom rác thải, xử lý rác thải và một số nhiệm vụ liên quan đến lĩnh vực môi trường và một số nhiệm vụ khác</t>
  </si>
  <si>
    <t>- Kinh phí để thực hiện vệ sinh môi trường; thu gom, vận chuyển, xử lý chất thải rắn sinh hoạt</t>
  </si>
  <si>
    <t>- Một số nhiệm vụ liên quan đến lĩnh vực môi trường và một số nhiệm vụ khác</t>
  </si>
  <si>
    <t>1. Sự nghiệp truyền thanh:</t>
  </si>
  <si>
    <t>a. Các khoản chi cho con người:</t>
  </si>
  <si>
    <t>2. Sự nghiệp Văn hóa:</t>
  </si>
  <si>
    <t xml:space="preserve">c. Những nhiệm vụ trọng tâm trong năm </t>
  </si>
  <si>
    <t>Giáo dục</t>
  </si>
  <si>
    <t xml:space="preserve">VI/ Sự nghiệp đào tạo: </t>
  </si>
  <si>
    <t xml:space="preserve">- Nghiệp vụ đào tạo, mở lớp </t>
  </si>
  <si>
    <t xml:space="preserve">- Đào tạo thường xuyên </t>
  </si>
  <si>
    <t>- Bảo trợ xã hội NĐ 20/2021/NĐ-CP</t>
  </si>
  <si>
    <t>- Hỗ trợ tiền điện cho hộ nghèo, hộ CSXH</t>
  </si>
  <si>
    <t>- Kinh phí cấp không thu tiền một số mặt hàng thiết yếu cho đồng bào dân tộc thiểu số theo QĐ 951/QĐ-UBND ngày 09/11/2018 của UBND tỉnh Quảng Ngãi</t>
  </si>
  <si>
    <t>- Bố trí cho NHCS ủy thác theo QĐ 50/2021/QĐ-UBND ngày 29/9/2021 của UBND tỉnh Quảng Ngãi</t>
  </si>
  <si>
    <t>- Chi thi đua khen thưởng</t>
  </si>
  <si>
    <t xml:space="preserve">- Tất cả các hoạt động về lĩnh vực an ninh </t>
  </si>
  <si>
    <t>- Tất cả các hoạt động về lĩnh vực quốc phòng (đã bao gồm chi cho Giáo dục quốc phòng)</t>
  </si>
  <si>
    <t>Biểu số 01</t>
  </si>
  <si>
    <t>ĐVT: Đồng</t>
  </si>
  <si>
    <t>STT</t>
  </si>
  <si>
    <t>Chỉ tiêu</t>
  </si>
  <si>
    <t>I</t>
  </si>
  <si>
    <t>Tổng thu NSNN trên địa bàn</t>
  </si>
  <si>
    <t>Thu từ NSNN do trung ương quản lý</t>
  </si>
  <si>
    <t>Thu từ doanh nghiệp nhà nước do địa phương quản lý</t>
  </si>
  <si>
    <t>Thu từ doanh nghiệp có vốn đầu tư nước ngoài</t>
  </si>
  <si>
    <t>Thu từ khu vực công thương nghiệp, dịch vụ ngoài quốc doanh</t>
  </si>
  <si>
    <t>- Thuế giá trị gia tăng</t>
  </si>
  <si>
    <t>- Thuế thu nhập doanh nghiệp</t>
  </si>
  <si>
    <t>- Thuế tiêu thụ đặc biệt</t>
  </si>
  <si>
    <t>- Thuế tài nguyên</t>
  </si>
  <si>
    <t>Lệ phí trước bạ</t>
  </si>
  <si>
    <t>Thuế sử dụng đất nông nghiệp</t>
  </si>
  <si>
    <t>Thuế thu nhập cá nhân</t>
  </si>
  <si>
    <t>Thuế bảo vệ môi trường</t>
  </si>
  <si>
    <t>Thu phí, lệ phí</t>
  </si>
  <si>
    <t>Thu tiền cấp quyền khai thác khoán sản</t>
  </si>
  <si>
    <t>II</t>
  </si>
  <si>
    <t>Tổng thu ngân sách huyện</t>
  </si>
  <si>
    <t>Thu cân đối ngân sách huyện (a)+(b)</t>
  </si>
  <si>
    <t>a</t>
  </si>
  <si>
    <t>Các khoản thu cân đối NSĐP được hưởng theo phân cấp</t>
  </si>
  <si>
    <t>Các khoản thu NSĐP hưởng 100%</t>
  </si>
  <si>
    <t>Các khoản thu phân chia NSĐP hưởng theo tỷ lệ %</t>
  </si>
  <si>
    <t>b</t>
  </si>
  <si>
    <t>Bổ sung từ ngân sách tỉnh</t>
  </si>
  <si>
    <t>Thu để lại để quản lý qua NSNN</t>
  </si>
  <si>
    <t>Biểu số 02</t>
  </si>
  <si>
    <t>Nội dung</t>
  </si>
  <si>
    <t>Tổng chi</t>
  </si>
  <si>
    <t>Bao gồm</t>
  </si>
  <si>
    <t>Ngân sách huyện</t>
  </si>
  <si>
    <t>Ngân sách xã</t>
  </si>
  <si>
    <t>A</t>
  </si>
  <si>
    <t>B</t>
  </si>
  <si>
    <t>1=2+3</t>
  </si>
  <si>
    <t>Tổng chi cân đối ngân sách huyện</t>
  </si>
  <si>
    <t>Chi đầu tư phát triển</t>
  </si>
  <si>
    <t>Chi đầu tư xây dựng cơ bản theo phân cấp</t>
  </si>
  <si>
    <t>Chi thường xuyên</t>
  </si>
  <si>
    <t>Chi sự nghiệp giáo dục</t>
  </si>
  <si>
    <t>Chi sự nghiệp đào tạo</t>
  </si>
  <si>
    <t>c</t>
  </si>
  <si>
    <t>Chi sự nghiệp văn hóa thông tin</t>
  </si>
  <si>
    <t>d</t>
  </si>
  <si>
    <t>Chi sự nghiệp phát thanh truyền hình, thông tấn</t>
  </si>
  <si>
    <t>e</t>
  </si>
  <si>
    <t>Chi sự nghiệp thể dục thể thao</t>
  </si>
  <si>
    <t>f</t>
  </si>
  <si>
    <t>Chi sự nghiệp đảm bảo xã hội</t>
  </si>
  <si>
    <t>g</t>
  </si>
  <si>
    <t>Chi sự nghiệp kinh tế</t>
  </si>
  <si>
    <t>h</t>
  </si>
  <si>
    <t>Chi sự nghiệp môi trường</t>
  </si>
  <si>
    <t>i</t>
  </si>
  <si>
    <t>Chi quản lý hành chính nhà nước, đảng, đoàn thể</t>
  </si>
  <si>
    <t>k</t>
  </si>
  <si>
    <t>Chi an ninh</t>
  </si>
  <si>
    <t>l</t>
  </si>
  <si>
    <t>Chi quốc phòng</t>
  </si>
  <si>
    <t>m</t>
  </si>
  <si>
    <t>Chi thường xuyên khác</t>
  </si>
  <si>
    <t>Dự phòng ngân sách</t>
  </si>
  <si>
    <t>Chi từ nguồn thu để lại quản lý qua ngân sách nhà nước</t>
  </si>
  <si>
    <t>Biểu số 03</t>
  </si>
  <si>
    <t>Tên đơn vị</t>
  </si>
  <si>
    <t>Tổng số</t>
  </si>
  <si>
    <t>Thu nội địa</t>
  </si>
  <si>
    <t>Thu từ hoạt động XNK</t>
  </si>
  <si>
    <t>Thu từ dầu thô</t>
  </si>
  <si>
    <t>UBND Sơn Dung</t>
  </si>
  <si>
    <t>UBND Sơn Mùa</t>
  </si>
  <si>
    <t>UBND Sơn Bua</t>
  </si>
  <si>
    <t>UBND Sơn Tân</t>
  </si>
  <si>
    <t>UBND Sơn Tinh</t>
  </si>
  <si>
    <t>UBND Sơn Lập</t>
  </si>
  <si>
    <t>UBND Sơn Long</t>
  </si>
  <si>
    <t>UBND Sơn Liên</t>
  </si>
  <si>
    <t>UBND Sơn Màu</t>
  </si>
  <si>
    <t>TỔNG CỘNG</t>
  </si>
  <si>
    <t>Biểu số 04</t>
  </si>
  <si>
    <t>Đơn vị tính: Ngàn đồng</t>
  </si>
  <si>
    <t>TT</t>
  </si>
  <si>
    <t>ĐƠN VỊ THU</t>
  </si>
  <si>
    <t>DNNN</t>
  </si>
  <si>
    <t>Phí và 
lệ phí</t>
  </si>
  <si>
    <t>Lệ phí
trước bạ</t>
  </si>
  <si>
    <t xml:space="preserve">Tiền
thuê đất </t>
  </si>
  <si>
    <t>Thu cấp
quyền khai thác KS</t>
  </si>
  <si>
    <t>Tiền
SDĐ</t>
  </si>
  <si>
    <t>Thuế
TNCN</t>
  </si>
  <si>
    <t>Thu cố
 định xã</t>
  </si>
  <si>
    <t>Thu khác
NS</t>
  </si>
  <si>
    <t xml:space="preserve">CỘNG </t>
  </si>
  <si>
    <t>GTGT</t>
  </si>
  <si>
    <t>TNDN</t>
  </si>
  <si>
    <t>Tài 
nguyên
thủy điện</t>
  </si>
  <si>
    <t>Thu 
khác</t>
  </si>
  <si>
    <t>Xã Sơn Dung</t>
  </si>
  <si>
    <t>Xã Sơn Tân</t>
  </si>
  <si>
    <t>Xã Sơn Mùa</t>
  </si>
  <si>
    <t>Xã Sơn Màu</t>
  </si>
  <si>
    <t>Xã Sơn Tinh</t>
  </si>
  <si>
    <t>Xã Sơn Lập</t>
  </si>
  <si>
    <t>Xã Sơn Long</t>
  </si>
  <si>
    <t>Xã Sơn Bua</t>
  </si>
  <si>
    <t>Xã Sơn Liên</t>
  </si>
  <si>
    <t>BQL dự án và PT quỹ đất</t>
  </si>
  <si>
    <t>Phòng Y tế</t>
  </si>
  <si>
    <t>Công an huyện</t>
  </si>
  <si>
    <t>Phòng TC - KH</t>
  </si>
  <si>
    <t>Biểu số 05</t>
  </si>
  <si>
    <t>Đơn vị: Đồng</t>
  </si>
  <si>
    <t>Thu NSĐP được hưởng theo phân cấp</t>
  </si>
  <si>
    <t>Chia ra</t>
  </si>
  <si>
    <t xml:space="preserve">Số bổ sung cân đối từ ngân sách cấp trên </t>
  </si>
  <si>
    <t>Số bổ sung thực hiện cải cách tiền lương</t>
  </si>
  <si>
    <t xml:space="preserve">Số bổ sung mục tiêu từ ngân sách cấp trên </t>
  </si>
  <si>
    <t>Tổng chi cân đối NSĐP</t>
  </si>
  <si>
    <t>Thu NSĐP hưởng 100%</t>
  </si>
  <si>
    <t>Thu phân chia</t>
  </si>
  <si>
    <t>Trong đó: Phần NSĐP được hưởng</t>
  </si>
  <si>
    <t>(2)=(3)+(5)</t>
  </si>
  <si>
    <t>(3)</t>
  </si>
  <si>
    <t>(4)</t>
  </si>
  <si>
    <t>(5)</t>
  </si>
  <si>
    <t>(6)</t>
  </si>
  <si>
    <t>(7)</t>
  </si>
  <si>
    <t>(8)</t>
  </si>
  <si>
    <t>(9)=(2)+(6)+(7)+(8)</t>
  </si>
  <si>
    <t>TỔNG SỐ</t>
  </si>
  <si>
    <t>Sơn Dung</t>
  </si>
  <si>
    <t>Sơn Mùa</t>
  </si>
  <si>
    <t>Sơn Bua</t>
  </si>
  <si>
    <t>Sơn Tân</t>
  </si>
  <si>
    <t>Sơn Tinh</t>
  </si>
  <si>
    <t>Sơn Lập</t>
  </si>
  <si>
    <t>Sơn Long</t>
  </si>
  <si>
    <t>Sơn Liên</t>
  </si>
  <si>
    <t>Sơn Màu</t>
  </si>
  <si>
    <t>Biểu số 06</t>
  </si>
  <si>
    <t>Hỗ trợ kinh phí thực hiện đối với chi bộ cơ sở theo QĐ 99-QĐ/TW ngày 30/5/2012 của BCH TW Đảng</t>
  </si>
  <si>
    <t>Tổng cộng</t>
  </si>
  <si>
    <t>Biểu số 07</t>
  </si>
  <si>
    <t>Biểu số 08</t>
  </si>
  <si>
    <t>Đơn vị: đồng</t>
  </si>
  <si>
    <t>Tên đơn vị (1)</t>
  </si>
  <si>
    <t>Bổ sung vốn đầu tư để thực hiện các chương trình mục tiêu, nhiệm vụ</t>
  </si>
  <si>
    <t>Bổ sung thực hiện các chương trình mục tiêu quốc gia</t>
  </si>
  <si>
    <t>1=2+3+4</t>
  </si>
  <si>
    <t xml:space="preserve">                                                                        ĐVT: Đồng</t>
  </si>
  <si>
    <t>Nội dung, đơn vị</t>
  </si>
  <si>
    <t xml:space="preserve">Chi đầu tư phát triển </t>
  </si>
  <si>
    <t>Chi hoạt động của cơ quan quản lý nhà nước, đảng đoàn thể</t>
  </si>
  <si>
    <t>Chi sự nghiệp</t>
  </si>
  <si>
    <t>Bao gồm các chỉ tiêu từ 7 đến 16</t>
  </si>
  <si>
    <t>Kinh tế sự nghiệp khác</t>
  </si>
  <si>
    <t>Môi trường</t>
  </si>
  <si>
    <t xml:space="preserve">Đào tạo, dạy nghề </t>
  </si>
  <si>
    <t>Y tế dân số và gia đình</t>
  </si>
  <si>
    <t xml:space="preserve">Thể dục thể thao </t>
  </si>
  <si>
    <t>Văn hóa, thông tin</t>
  </si>
  <si>
    <t>Phát thanh truyền hình thông tấn</t>
  </si>
  <si>
    <t>Đảm bảo xã hội</t>
  </si>
  <si>
    <t>Quốc phòng</t>
  </si>
  <si>
    <t>Chi khác ngân sách</t>
  </si>
  <si>
    <t>Dự phòng</t>
  </si>
  <si>
    <t>2</t>
  </si>
  <si>
    <t>3</t>
  </si>
  <si>
    <t>4</t>
  </si>
  <si>
    <t>5</t>
  </si>
  <si>
    <t>6=7+…..+15</t>
  </si>
  <si>
    <t>7</t>
  </si>
  <si>
    <t>8</t>
  </si>
  <si>
    <t>9</t>
  </si>
  <si>
    <t>10</t>
  </si>
  <si>
    <t>11</t>
  </si>
  <si>
    <t>12</t>
  </si>
  <si>
    <t>13</t>
  </si>
  <si>
    <t>14</t>
  </si>
  <si>
    <t>15</t>
  </si>
  <si>
    <t>16</t>
  </si>
  <si>
    <t>17</t>
  </si>
  <si>
    <t>18</t>
  </si>
  <si>
    <t>19</t>
  </si>
  <si>
    <t>* Tổng chi NS địa phương</t>
  </si>
  <si>
    <t>- Chi ngân sách cấp huyện</t>
  </si>
  <si>
    <t>- Chi ngân sách cấp xã</t>
  </si>
  <si>
    <t>Chi ngân sách cấp huyện</t>
  </si>
  <si>
    <r>
      <t>Chi đầu tư phát triển</t>
    </r>
    <r>
      <rPr>
        <sz val="12"/>
        <rFont val="Times New Roman"/>
        <family val="1"/>
      </rPr>
      <t/>
    </r>
  </si>
  <si>
    <t xml:space="preserve">II </t>
  </si>
  <si>
    <t>Khối Đảng</t>
  </si>
  <si>
    <t>Các cơ quan chuyên môn</t>
  </si>
  <si>
    <t>Phòng Nông nghiệp và Phát triển nông thôn</t>
  </si>
  <si>
    <t>Phòng Tài chính - Kế hoạch</t>
  </si>
  <si>
    <t>Phòng Kinh tế và Hạ tầng</t>
  </si>
  <si>
    <t>Phòng Giáo dục và Đào tạo</t>
  </si>
  <si>
    <t>Phòng Văn hóa và Thông tin</t>
  </si>
  <si>
    <t>Phòng Tài nguyên và Môi trường</t>
  </si>
  <si>
    <t>Phòng Tư pháp</t>
  </si>
  <si>
    <t>Phòng Dân tộc</t>
  </si>
  <si>
    <t>Hội Nạn nhân chất độc da cam/Dioxin</t>
  </si>
  <si>
    <t>Hội Khuyến học</t>
  </si>
  <si>
    <t>Hội Người cao tuổi</t>
  </si>
  <si>
    <t>Hội Chữ thập đỏ</t>
  </si>
  <si>
    <t>Hỗ trợ tiền điện cho hộ nghèo, hộ CSXH</t>
  </si>
  <si>
    <t>Kinh phí đào tạo thường xuyên</t>
  </si>
  <si>
    <t xml:space="preserve">Chi ngân sách cấp xã </t>
  </si>
  <si>
    <t>UBND xã Sơn Dung</t>
  </si>
  <si>
    <t>UBND xã Sơn Mùa</t>
  </si>
  <si>
    <t>UBND xã Sơn Bua</t>
  </si>
  <si>
    <t>UBND xã Sơn Tân</t>
  </si>
  <si>
    <t>UBND xã Sơn Tinh</t>
  </si>
  <si>
    <t>UBND xã Sơn Lập</t>
  </si>
  <si>
    <t xml:space="preserve">UBND xã Sơn Long </t>
  </si>
  <si>
    <t xml:space="preserve">UBND xã Sơn Liên </t>
  </si>
  <si>
    <t>UBND xã Sơn Màu</t>
  </si>
  <si>
    <t>Thuế 
SDĐPNN</t>
  </si>
  <si>
    <t>Cộng Khối xã</t>
  </si>
  <si>
    <t>Chi cục Thuế</t>
  </si>
  <si>
    <t xml:space="preserve">Cục Thuế </t>
  </si>
  <si>
    <t>Phòng KT hạ tầng</t>
  </si>
  <si>
    <t>Cộng Khối huyện</t>
  </si>
  <si>
    <t>Tổng thu trên 
địa bàn huyện</t>
  </si>
  <si>
    <t xml:space="preserve"> Trong đó: Phí BVMT đối với khai thác khoáng sản</t>
  </si>
  <si>
    <t>Thu tiền sử dụng đất</t>
  </si>
  <si>
    <t>Thu khác ngân sách</t>
  </si>
  <si>
    <t xml:space="preserve"> Trong đó: Thu phạt ATGT</t>
  </si>
  <si>
    <t xml:space="preserve"> - Bổ sung cân đối</t>
  </si>
  <si>
    <t xml:space="preserve"> - Bổ sung có mục tiêu</t>
  </si>
  <si>
    <t xml:space="preserve"> - Bổ sung thực hiện cải cách tiền lương</t>
  </si>
  <si>
    <t>Thuế ngoài quốc doanh</t>
  </si>
  <si>
    <t>Phòng Nội vụ</t>
  </si>
  <si>
    <t>Thanh tra huyện</t>
  </si>
  <si>
    <t>Văn phòng HĐND&amp;UBND</t>
  </si>
  <si>
    <t xml:space="preserve">Kinh phí chuyển đổi số </t>
  </si>
  <si>
    <t xml:space="preserve">        + Huyện giao tăng 0 triệu đồng so với dự toán tỉnh giao; Dự kiến ngân sách huyện, xã hưởng 0 triệu đồng (được phân bổ khi thu đạt). </t>
  </si>
  <si>
    <t xml:space="preserve">        - Tính quỹ lương và các khoản đóng góp đến thời điểm 31/12/2023 tính theo biên chế được giao của các cấp có thẩm quyền.</t>
  </si>
  <si>
    <t>Biểu mẫu số 11</t>
  </si>
  <si>
    <t>Chi từ nguồn thu tiền sử dụng đất</t>
  </si>
  <si>
    <t>Bao gồm các khoản chi 4+5+6+16+17+18+19</t>
  </si>
  <si>
    <t xml:space="preserve">Chi thường xuyên khác </t>
  </si>
  <si>
    <t>11.3 Văn phòng HĐND&amp;UBND</t>
  </si>
  <si>
    <t>1/ Trung tâm chính trị :</t>
  </si>
  <si>
    <t xml:space="preserve">1. UBMTTQ Việt Nam huyện:  </t>
  </si>
  <si>
    <t xml:space="preserve">        B/ Phương án phân bổ chi ngân sách: </t>
  </si>
  <si>
    <t>3. Hội Liên hiệp Phụ nữ huyện:</t>
  </si>
  <si>
    <t>4. Hội Nông dân huyện:</t>
  </si>
  <si>
    <t>- Phụ cấp cấp ủy chi bộ (Chi bộ VP Huyện uỷ)</t>
  </si>
  <si>
    <t>- Phụ cấp cấp ủy chi bộ (Chi bộ Tuyên giáo Dân vận)</t>
  </si>
  <si>
    <t>- Kinh phí hoạt động cơ sở đảng theo QĐ 99-QĐ/TW (Chi bộ VP Huyện ủy)</t>
  </si>
  <si>
    <t>- Định mức chi hoạt động biên chế có mặt (VP Huyện uỷ)</t>
  </si>
  <si>
    <t>- Định mức chi hoạt động biên chế có mặt (Ban Tổ chức)</t>
  </si>
  <si>
    <t>2. Phòng Tài chính - Kế hoạch:</t>
  </si>
  <si>
    <t>4. Thanh tra huyện:</t>
  </si>
  <si>
    <t>5. Phòng Nông nghiệp và Phát triển nông thôn</t>
  </si>
  <si>
    <t>8. Phòng Kinh tế và Hạ tầng</t>
  </si>
  <si>
    <t>9. Phòng Giáo dục và Đào tạo (HC):</t>
  </si>
  <si>
    <t>10. Phòng Lao động - Thương binh và Xã hội:</t>
  </si>
  <si>
    <t xml:space="preserve">1. Trung tâm Dịch vụ nông nghiệp: </t>
  </si>
  <si>
    <t>Phòng Lao động - Thương binh và xã hội</t>
  </si>
  <si>
    <t>Trung tâm truyền thông văn hóa thể thao</t>
  </si>
  <si>
    <t>Dự toán 2025</t>
  </si>
  <si>
    <t>Biên chế 2025</t>
  </si>
  <si>
    <t>TỔNG CHI NĂM 2025</t>
  </si>
  <si>
    <t>Giám sát phản biện, các hoạt động kỷ niệm ngày thành lập đoàn; Tổ chức ngày 01/6, đêm hội trăng rằm; Tuyển quân, tháng thanh niên; Tập huấn kỹ năng công tác đoàn; tham gia các hội trại tỉnh; Hỗ trợ một số nhiệm vụ khác</t>
  </si>
  <si>
    <t>** ĐẢNG (Huyện ủy)</t>
  </si>
  <si>
    <t>- Lương và các khoản đóng góp theo lương theo mức 2.340.000 đồng (Văn phòng Huyện uỷ)</t>
  </si>
  <si>
    <t>- Lương hợp đồng theo Nghị định 111/NĐ-CP theo mức 2.340.000 đồng</t>
  </si>
  <si>
    <t>- Lương và các khoản đóng góp theo lương theo mức 2.340.000 đồng (Cơ quan Tổ chức)</t>
  </si>
  <si>
    <t>- Lương và các khoản đóng góp theo lương theo mức 2.340.000 đồng (Ban Dân vận)</t>
  </si>
  <si>
    <t>- Lương và các khoản đóng góp theo lương theo mức 2.340.000 đồng (Ban Tuyên giáo)</t>
  </si>
  <si>
    <t>- Lương và các khoản đóng góp theo lương theo mức 2.340.000 đồng (Ủy ban kiểm tra)</t>
  </si>
  <si>
    <t>- Lương và các khoản đóng góp theo lương theo mức 2.340.000 đồng</t>
  </si>
  <si>
    <t>- Thống kê đất</t>
  </si>
  <si>
    <t>- Lập kế hoạch sử dụng đất (hàng năm)</t>
  </si>
  <si>
    <t>BS có mục tiêu từ NS tỉnh</t>
  </si>
  <si>
    <t>- Chi phí công tác quyết toán, dự toán ngân sách huyện, thẩm định quyết định đầu tư án, Hội đồng thẩm định giá đất cụ thể, Hội đồng định giá TS trong tố tụng hình sự</t>
  </si>
  <si>
    <t>- Cước phí đường truyền và sửa chữa đường truyền hệ thống Tabmis</t>
  </si>
  <si>
    <t>- Xăng máy nổ, sửa chữa máy nổ, tiền điện và sửa chữa hệ thống điện phục vụ hệ thống Tabmis</t>
  </si>
  <si>
    <t xml:space="preserve">3. Phòng Văn hóa và Thông tin </t>
  </si>
  <si>
    <t>- Hoạt động các ban của phòng Văn hóa và thông tin; Đội kiểm tra liên ngành; Cấp chứng nhận cơ quan văn hóa, lĩnh vực gia đình; Hoạt động Công nghệ thông tin và những nhiệm vụ khác</t>
  </si>
  <si>
    <t>- Chi công tác cải cách hành chính</t>
  </si>
  <si>
    <t>7. Phòng Y tế</t>
  </si>
  <si>
    <t xml:space="preserve">- Kinh phí khám nghĩa vụ quân sự; Kinh phí hoạt động phòng chống HIV/AIDS và hoạt động phòng chống dịch nguy hiểm ở người, kinh phí kiểm tra an toàn thực phẩm và các hoạt động khác (có tổ chức kỷ niệm ngày thầy thuốc 27/02), hoạt động của BCĐ; tập huấn kiến thức ATTP và một số nhiệm vụ </t>
  </si>
  <si>
    <t>- Hỗ trợ cho Ban an toàn giao thông</t>
  </si>
  <si>
    <t>- Chi cho công tác an toàn thực phẩm</t>
  </si>
  <si>
    <t>- Chi xúc tiến thương mại</t>
  </si>
  <si>
    <t>NS tỉnh bổ sung có mục tiêu</t>
  </si>
  <si>
    <t>- Duy tu bảo dưỡng các công trình</t>
  </si>
  <si>
    <t>- Triển khai luật, rà soát văn bản, tập huấn, Nghiệp vụ ngành</t>
  </si>
  <si>
    <t>11. Phòng Tư pháp</t>
  </si>
  <si>
    <t>12. Phòng Dân tộc</t>
  </si>
  <si>
    <t>- Lập quy hoạch sử dụng đất 2023-2030</t>
  </si>
  <si>
    <t xml:space="preserve">B/ CHI THƯỜNG XUYÊN </t>
  </si>
  <si>
    <t>* MẶT TRẬN</t>
  </si>
  <si>
    <t>I / Đoàn thể, Đảng, Quản lý hành chính</t>
  </si>
  <si>
    <t>13. Văn phòng HĐND&amp;UBND</t>
  </si>
  <si>
    <t>- Phụ cấp đại biểu HĐND</t>
  </si>
  <si>
    <t>Dự phòng chi</t>
  </si>
  <si>
    <t>- Công tác thủy lợi, nước sinh hoạt</t>
  </si>
  <si>
    <t xml:space="preserve">- Trả tiền điện đèn cao áp Trung tâm huyện </t>
  </si>
  <si>
    <t>3. Hạt Kiểm lâm</t>
  </si>
  <si>
    <t>- Kinh phí thực hiện Nghị quyết về lĩnh vực nông nghiệp</t>
  </si>
  <si>
    <t xml:space="preserve">III/ Trung tâm Truyền thông - Văn hóa - Thể thao: </t>
  </si>
  <si>
    <t>- Nghiệp vụ ngành, điện, đài, trực, trang thông tin địa phương; sửa chữa mua sắm máy móc thiết bị chuyên môn của ngành và một số nhiệm vụ khác</t>
  </si>
  <si>
    <t>- Kinh phí tuyên truyền, trang trí, khánh tiết Lễ, Tết</t>
  </si>
  <si>
    <t>3. Sự nghiệp thể thao:</t>
  </si>
  <si>
    <t>2. Kinh phí đào tạo</t>
  </si>
  <si>
    <t>VII/ Chi đảm bảo xã hội</t>
  </si>
  <si>
    <t>- Kinh phí chúc thọ</t>
  </si>
  <si>
    <t xml:space="preserve">IX/ Chi An ninh </t>
  </si>
  <si>
    <t>X/ Chi Quốc phòng</t>
  </si>
  <si>
    <t xml:space="preserve">- Kinh phí chuyển đổi số </t>
  </si>
  <si>
    <t>- Kinh phí hỗ trợ hội thẩm nhân dân</t>
  </si>
  <si>
    <t xml:space="preserve">V/ Chi Sự nghiệp Giáo dục : </t>
  </si>
  <si>
    <t>- Kinh phí chi thường xuyên khác</t>
  </si>
  <si>
    <t>- Kinh phí hoạt động của Hội đồng pháp luật</t>
  </si>
  <si>
    <t>+ Lương và các khoản đóng góp theo lương theo mức 2.340.000 đồng</t>
  </si>
  <si>
    <t>- Các Hội nghị sơ kết, tổng kết; Họp cụm thi đua; Tổ chức giải bóng chuyền ở huyện và tham gia tỉnh; giám sát phản biện; Tập huấn công tác hội và các hoạt động khác.</t>
  </si>
  <si>
    <t>- Kinh phí hoạt động của các Ban chỉ đạo; Tổ chức viếng nghĩa trang liệt sĩ nhân các ngày Lễ, Tết, ngày thương binh liệt sĩ và các hoạt động khác</t>
  </si>
  <si>
    <t>- Kinh phí đảm bảo xã hội (đối tượng Người có công): Hỗ trợ chi phí phục vụ công tác đi điều dưỡng tập trung; Thăm tặng quà đối tượng Người có công nhân các ngày Lễ, Tết, ngày thương binh liệt sĩ; Tổ chức gặp mặt thân nhân tiêu biểu và Người có công.</t>
  </si>
  <si>
    <t xml:space="preserve">- Kinh phí đảm bảo xã hội (đối tượng bảo trợ xã hội): Thăm tặng quà đối tượng bảo trợ xã hội nhân các ngày Lễ, Tết; Hỗ trợ trẻ em có hoàn cảnh đặc biệt khó khăn; Tổ chức gặp mặt các đối tượng bảo trợ xã hội và các hoạt động khác.  </t>
  </si>
  <si>
    <t>- Kinh phí thực hiện Nghị định 81/2021/NĐ-CP (Cấp bù miễn, giảm học phí)</t>
  </si>
  <si>
    <t>- Nhiên liệu ô tô năm 2025</t>
  </si>
  <si>
    <t>- Kinh phí thăm tết</t>
  </si>
  <si>
    <t>- Hoa tươi chúc mừng các ngày lễ, viếng tang thân nhân các đồng chí lãnh đạo, tỉnh, huyện</t>
  </si>
  <si>
    <t>- Một số nhiệm vụ khác của lãnh đạo UBND huyện (Đi công tác trong và ngoài tỉnh …)</t>
  </si>
  <si>
    <t>- Kinh phí kiểm soát thủ tục hành chính</t>
  </si>
  <si>
    <t xml:space="preserve">- Thuê bao Hội nghị truyền hình trực tuyến </t>
  </si>
  <si>
    <t xml:space="preserve">- Hợp đồng viết báo với các cơ quan báo chí </t>
  </si>
  <si>
    <t>- Hợp đồng Đài truyền hình Quảng ngãi đăng tin tức trên đài truyền hình Quảng Ngãi</t>
  </si>
  <si>
    <t>- Kinh phí thực hiện Nghị định 81/2021/NĐ-CP</t>
  </si>
  <si>
    <t>- Kinh phí hoạt động chung bậc Mầm non</t>
  </si>
  <si>
    <t xml:space="preserve">- Kinh phí hoạt động chung bậc Tiểu học </t>
  </si>
  <si>
    <t>- Kinh phí hoạt động chung bậc Trung học cơ sở</t>
  </si>
  <si>
    <t>V.1/ Sự nghiệp Giáo dục (SN Giáo dục tại phòng và các bậc học MN, TH, THCS)</t>
  </si>
  <si>
    <t>1. Sự nghiệp tại Phòng Giáo dục và Đào tạo</t>
  </si>
  <si>
    <t>2. Trường Mầm non Nước Hoa xã Sơn Lập</t>
  </si>
  <si>
    <t>V.2/ Kinh phí thực hiện Nghị quyết của HĐND huyện về lĩnh vực giáo dục và thực hiện nhiệm vụ khác</t>
  </si>
  <si>
    <t>- Kinh phí thực hiện Nghị định 105/2020/NĐ-CP</t>
  </si>
  <si>
    <t>- Kinh phí đảm bảo hoạt động</t>
  </si>
  <si>
    <t>- Kinh phí thực hiện sửa chữa</t>
  </si>
  <si>
    <t>- Kinh phí thực hiện mua sắm trang thiết bị phục vụ dạy và học</t>
  </si>
  <si>
    <t>3. Trường Mầm non xã Sơn Tinh</t>
  </si>
  <si>
    <t>4. Trường Mầm non Bãi Màu xã Sơn Màu</t>
  </si>
  <si>
    <t>- Kinh phí thực hiện Thông tư liên tịch 42/2013/TTLT</t>
  </si>
  <si>
    <t>5. Trường Mầm non xã Sơn Tân</t>
  </si>
  <si>
    <t>6. Trường Mầm non xã Sơn Dung</t>
  </si>
  <si>
    <t>7. Trường Mầm non Đăk Ra Pân xã Sơn Long</t>
  </si>
  <si>
    <t>8. Trường Mầm non Hoa Pơ - Niêng</t>
  </si>
  <si>
    <t>9. Trường Mầm non Sông Rin xã Sơn Liên</t>
  </si>
  <si>
    <t>10. Trường Mầm non Tu K Pan xã Sơn Bua</t>
  </si>
  <si>
    <t>11. Trường PTDTBT TH&amp;THCS Sơn Lập</t>
  </si>
  <si>
    <t>Cấp Tiểu học</t>
  </si>
  <si>
    <t>- Kinh phí thực hiện Nghị định 116/2016/NĐ-CP</t>
  </si>
  <si>
    <t>Cấp THCS</t>
  </si>
  <si>
    <t>12. Trường TH&amp;THCS Sơn Tinh</t>
  </si>
  <si>
    <t>13. Trường PTDTBT TH&amp;THCS Sơn Màu</t>
  </si>
  <si>
    <t>14. Trường PTDTBT TH&amp;THCS Sơn Tân</t>
  </si>
  <si>
    <t>15. Trường PTDTBT TH&amp;THCS Sơn Dung</t>
  </si>
  <si>
    <t>16. Trường PTDTBT TH&amp;THCS Sơn Long</t>
  </si>
  <si>
    <t>17. Trường PTDTBT TH&amp;THCS Đinh Thanh Kháng</t>
  </si>
  <si>
    <t>18. Trường PTDTBT TH&amp;THCS Sơn Liên</t>
  </si>
  <si>
    <t>19. Trường PTDTBT TH&amp;THCS Sơn Bua</t>
  </si>
  <si>
    <t>20. Trường PTDTNT THCS Sơn Tây</t>
  </si>
  <si>
    <t>- Kinh phí thực hiện Nghị định 84/2020/NĐ-CP</t>
  </si>
  <si>
    <t xml:space="preserve">- Chính sách người có uy tín </t>
  </si>
  <si>
    <t>- Kinh phí tổ chức Lễ kỹ niệm</t>
  </si>
  <si>
    <t>- Kinh phí Đại hội Đảng các cấp</t>
  </si>
  <si>
    <t>- Kinh phí Đại hội Thể dục thể thao</t>
  </si>
  <si>
    <t>- Kinh phí khen thưởng</t>
  </si>
  <si>
    <t xml:space="preserve">        - Tiết kiệm chi hoạt động để chi khen thưởng</t>
  </si>
  <si>
    <t>Văn phòng Huyện ủy</t>
  </si>
  <si>
    <t xml:space="preserve">UBMTTQ Việt Nam huyện:  </t>
  </si>
  <si>
    <t>Huyện Đoàn</t>
  </si>
  <si>
    <t>Hội Liên hiệp Phụ nữ huyện</t>
  </si>
  <si>
    <t>Hội Nông dân huyện</t>
  </si>
  <si>
    <t>Hội Cựu Chiến bin</t>
  </si>
  <si>
    <t xml:space="preserve">Trung tâm dịch vụ nông nghiệp </t>
  </si>
  <si>
    <t xml:space="preserve">Các đơn vị sự nghiệp </t>
  </si>
  <si>
    <t xml:space="preserve">Công an huyện Sơn Tây </t>
  </si>
  <si>
    <r>
      <t>Ban chỉ huy Quân sự huyện Sơn Tây</t>
    </r>
    <r>
      <rPr>
        <i/>
        <sz val="10"/>
        <rFont val="Times New Roman"/>
        <family val="1"/>
      </rPr>
      <t xml:space="preserve"> </t>
    </r>
  </si>
  <si>
    <t xml:space="preserve">Ngân hàng chính sách xã hội </t>
  </si>
  <si>
    <t>Trường Mầm non Nước Hoa</t>
  </si>
  <si>
    <t>Trung tâm chính trị</t>
  </si>
  <si>
    <t>Phòng Giáo dục và Đào tạo (sự nghiệp)</t>
  </si>
  <si>
    <t>Trường Mầm non Sơn Tinh</t>
  </si>
  <si>
    <t>Trường Mầm non Bãi Màu</t>
  </si>
  <si>
    <t>Trường Mầm non Sơn Tân</t>
  </si>
  <si>
    <t>Trường Mầm non Sơn Dung</t>
  </si>
  <si>
    <t>Trường Mầm non Dak Ra Pân</t>
  </si>
  <si>
    <t>Trường Mầm non Hoa Pơ Niêng</t>
  </si>
  <si>
    <t>Trường Mầm non Sông Rin</t>
  </si>
  <si>
    <t>Trường Mầm non Tu K Pan</t>
  </si>
  <si>
    <t>Trường PTDTBT TH&amp;THCS Sơn Lập</t>
  </si>
  <si>
    <t>Trường TH&amp;THCS Sơn Tinh</t>
  </si>
  <si>
    <t>Trường PTDTBT TH&amp;THCS Sơn Màu</t>
  </si>
  <si>
    <t>Trường PTDTBT TH&amp;THCS Sơn Tân</t>
  </si>
  <si>
    <t>Trường PTDTBT TH&amp;THCS Sơn Dung</t>
  </si>
  <si>
    <t>Trường PTDTBT TH&amp;THCS Sơn Long</t>
  </si>
  <si>
    <t>Trường PTDTBT TH&amp;THCS Đinh Thanh Kháng</t>
  </si>
  <si>
    <t>Trường PTDTBT TH&amp;THCS Sơn Liên</t>
  </si>
  <si>
    <t>Trường PTDTBT TH&amp;THCS Sơn Bua</t>
  </si>
  <si>
    <t>Trường PTDTNT THCS Sơn Tây</t>
  </si>
  <si>
    <t>Một số nhiệm vụ khác</t>
  </si>
  <si>
    <t>Hạt Kiểm lâm</t>
  </si>
  <si>
    <t>Kinh phí đối ứng CTMTQG (sự nghiệp và đầu tư)</t>
  </si>
  <si>
    <t>Kinh phí hỗ trợ hội thẩm nhân dân</t>
  </si>
  <si>
    <t>Kinh phí thực hiện NQ 12/2024</t>
  </si>
  <si>
    <t>Kinh phí tổ chức Lễ kỹ niệm</t>
  </si>
  <si>
    <t>Kinh phí Đại hội Đảng các cấp</t>
  </si>
  <si>
    <t>Kinh phí Đại hội Thể dục thể thao</t>
  </si>
  <si>
    <t>Hỗ trợ bảo vệ và phát triển đất trồng lúa theo NĐ 35</t>
  </si>
  <si>
    <t>Cấp bù thủy lợi phí</t>
  </si>
  <si>
    <t>NQ lĩnh vực nông nghiệp</t>
  </si>
  <si>
    <t>NQ lĩnh vực giáo dục</t>
  </si>
  <si>
    <t>NQ lĩnh vực Văn hóa</t>
  </si>
  <si>
    <t>Kinh phí chúc thọ</t>
  </si>
  <si>
    <t>- Kinh phí BTVHU, HĐND, UBND, UBMTTTVN huyện thăm các ngày lễ, (Báo chí 21/06, ngày thầy thuốc 27/02, khai giảng, tổng kết năm học, 20/11, các ngày lễ khác …)</t>
  </si>
  <si>
    <t>XII/ Dự phòng ngân sách</t>
  </si>
  <si>
    <t>XI/ Tiết kiệm chi</t>
  </si>
  <si>
    <t xml:space="preserve">- Tiết kiệm chi </t>
  </si>
  <si>
    <t>Tiết kiệm chi</t>
  </si>
  <si>
    <t>Bổ sung thực hiện các chế độ, chính sách, nhiệm vụ</t>
  </si>
  <si>
    <t>DỰ TOÁN THU NGÂN SÁCH NHÀ NƯỚC NĂM 2025</t>
  </si>
  <si>
    <t>NHIỆM VỤ CHI NGÂN SÁCH NĂM 2025</t>
  </si>
  <si>
    <t>DỰ TOÁN THU NGÂN SÁCH NHÀ NƯỚC TRÊN ĐỊA BÀN TỪNG XÃ NĂM 2025</t>
  </si>
  <si>
    <t>BIỂU TỔNG HỢP DỰ TOÁN THU NGÂN SÁCH HUYỆN, XÃ NĂM 2025</t>
  </si>
  <si>
    <t>DỰ TOÁN THU, CHI NGÂN SÁCH ĐỊA PHƯƠNG VÀ SỐ BỔ SUNG CÂN ĐỐI TỪ NGÂN SÁCH HUYỆN
CHO NGÂN SÁCH XÃ NĂM 2025</t>
  </si>
  <si>
    <t>BỔ SUNG CÓ MỤC TIÊU TỪ NGÂN SÁCH HUYỆN CHO NGÂN SÁCH XÃ ĐỂ THỰC HIỆN MỘT SỐ MỤC TIÊU, NHIỆM VỤ NĂM 2025</t>
  </si>
  <si>
    <t>BỔ SUNG CÓ MỤC TIÊU TỪ NGÂN SÁCH HUYỆN CHO NGÂN SÁCH XÃ ĐỂ THỰC HIỆN MỤC TIÊU NHIỆM VỤ NĂM 2025</t>
  </si>
  <si>
    <t>DỰ TOÁN BỔ SUNG CÓ MỤC TIÊU TỪ NGÂN SÁCH CẤP HUYỆN CHO NGÂN SÁCH TỪNG XÃ NĂM 2025</t>
  </si>
  <si>
    <t xml:space="preserve"> PHƯƠNG ÁN PHÂN BỔ NGÂN SÁCH NĂM 2025</t>
  </si>
  <si>
    <t>PHÂN KHAI DỰ TOÁN CHI CHO CÁC ĐƠN VỊ SỬ DỤNG NGÂN SÁCH HUYỆN NĂM 2025</t>
  </si>
  <si>
    <t>- Kinh phí đối ứng các chương trình mục tiêu quốc gia</t>
  </si>
  <si>
    <t>- Ban chỉ đạo và tổ giúp việc 35 (theo QĐ số 126-QĐ/HU ngày 01/4/2021 của Huyện ủy Sơn Tây, hướng 39-HD/VPTW)</t>
  </si>
  <si>
    <t>- Hỗ trợ công tác tiếp công dân</t>
  </si>
  <si>
    <t>(1)=3+4</t>
  </si>
  <si>
    <t>- Hỗ trợ cho BCH Quân sự cơ quan</t>
  </si>
  <si>
    <t>- Hoạt động khác của Văn phòng</t>
  </si>
  <si>
    <t xml:space="preserve">        Căn cứ Quyết định số 789/QĐ-UBND ngày 12 tháng 12 năm 2024 của UBND tỉnh Quảng Ngãi về việc giao dự toán thu ngân sách nhà nước trên địa bàn và chi ngân sách địa phương năm 2025.</t>
  </si>
  <si>
    <t xml:space="preserve">        - Thu trên địa bàn: 118.720 triệu đồng, Trong đó: thu ngân sách huyện hưởng theo phân cấp: 130.438 triệu đồng.</t>
  </si>
  <si>
    <t xml:space="preserve">        + UBND tỉnh giao: 118.720 triệu đồng; Ngân sách huyện hưởng theo phân cấp: 130.438 triệu đồng.</t>
  </si>
  <si>
    <t xml:space="preserve">        - Tổng chi Ngân sách huyện: 372.055 triệu đồng.</t>
  </si>
  <si>
    <t xml:space="preserve">        + Thu bổ sung nguồn CCTL: 90.698 triệu đồng.</t>
  </si>
  <si>
    <t xml:space="preserve">        + Thu bổ sung có mục tiêu: 19.297 triệu đồng.</t>
  </si>
  <si>
    <t xml:space="preserve">        - Thu bổ sung ngân sách:  241.617 triệu đồng.</t>
  </si>
  <si>
    <t xml:space="preserve">        + Thu bổ sung cân đối: 131.622 triệu đồng.</t>
  </si>
  <si>
    <t xml:space="preserve">        - Tiền lương biên chế năm 2025 giao theo mức 2.340.000 đồng.</t>
  </si>
  <si>
    <t>- Sữa chữa, duy tu, bão dưỡng, bảo dưỡng hệ thống điện chiếu sáng, hệ thống thoát nước, hạ tầng giao thông; duy trì, trồng và chăm sóc cây xanh</t>
  </si>
  <si>
    <t>- Một số nhiệm vụ khác của Văn phòng</t>
  </si>
  <si>
    <t>An ninh và trật tự an toàn xã hội</t>
  </si>
  <si>
    <t>- Kinh phí thực hiện Đề án 06</t>
  </si>
  <si>
    <t>Kinh phí thực hiện chính sách hỗ trợ đối với cán bộ, công chức làm việc tại bộ phận một cửa theo NQ số 35/2022/NQ-HĐND</t>
  </si>
  <si>
    <t>Kinh phí thực hiện NQ số 12/2022/NQ-HĐND Quảng Ngãi</t>
  </si>
  <si>
    <t>Kinh phí thực hiện NQ số 30/2023/NQ-HĐND của Quảng Ngãi</t>
  </si>
  <si>
    <t>- Kinh phí thực hiện NQ 12/2024/NQ-HĐND</t>
  </si>
  <si>
    <t>- Kinh phí thực hiện Nghị quyết về lĩnh vực văn hóa</t>
  </si>
  <si>
    <t>- Giám sát, phản biện, Tập huấn công tác hội; họp cụm miền núi và hải đảo, giải bóng chuyền truyền thống, Hội nghị Sơ kết, tổng kết và các hoạt động khác</t>
  </si>
  <si>
    <t>- Văn phòng phẩm, phô tô tài liệu, khác phục vụ HĐND, UBND, một cửa ...</t>
  </si>
  <si>
    <t>+ Những nhiệm vụ của huyện giao trong năm 2024</t>
  </si>
  <si>
    <t>- Kinh phí thực hiện chính sách hỗ trợ đối với cán bộ, công chức làm việc tại bộ phận một cửa theo NQ số 35/2022/NQ-HĐND</t>
  </si>
  <si>
    <t xml:space="preserve">Phần II. CHI NGÂN SÁCH XÃ </t>
  </si>
  <si>
    <t>- Dự phòng chi</t>
  </si>
  <si>
    <t>- Sửa chữa hệ thống đường điện trung tâm huyện</t>
  </si>
  <si>
    <t>+ Chi các hoạt động phục vụ công tác chuyên môn, tổ chức tập huấn, sinh hoạt chuyên môn, các hội thi được quy định tại Nghị quyết 17/2023/NQ-HĐND</t>
  </si>
  <si>
    <t>+ Mua sắm cho các đơn vị trường</t>
  </si>
  <si>
    <t>+ Sửa chữa cho các đơn vị trường</t>
  </si>
  <si>
    <t>+ Chi khác</t>
  </si>
  <si>
    <t>+ Mua sắm, sửa chữa các hạng mục phục vụ các hoạt động chung của ngành</t>
  </si>
  <si>
    <t>Bậc Mầm non</t>
  </si>
  <si>
    <t>+ Hỗ trợ CPHT</t>
  </si>
  <si>
    <t>+ Miễn học phí</t>
  </si>
  <si>
    <t>+ Giảm học phí</t>
  </si>
  <si>
    <t>Bậc Tiểu học</t>
  </si>
  <si>
    <t>Bậc THCS</t>
  </si>
  <si>
    <t>- Hội nghị Báo cáo viên, báo cáo thời sự, quy chế phối hợp 238</t>
  </si>
  <si>
    <t>- Nhiệp vụ khác của các ban (Ban Tuyên giáo 50 triệu, Ban Tổ chức 50 triệu, Ban Dân vận 35 triệu, UBKT 55 triệu)</t>
  </si>
  <si>
    <t>VIII/Một số nhiệm vụ khác :</t>
  </si>
  <si>
    <t>2. Nhiệm vụ khác</t>
  </si>
  <si>
    <t>- Chi các nội dung theo chế độ QĐ 1223-QĐ/TU, Sơ kết, tổng kết các Nghị Quyết của Đảng, họp Thường vụ, họp BCH, các hội nghị, hội thi tư tưởng HCM,…</t>
  </si>
  <si>
    <t>- Công tác phòng cháy chữa cháy rừng trên địa bàn huyện (QĐ phê duyệt phương án PCCCR giai đoạn 2021-2025)</t>
  </si>
  <si>
    <t>- Kinh phí hoạt động của các BCĐ (BCĐ biên chế; BCĐ sức khỏe; Ban Tôn giáo; Ban CĐ quy chế dân chủ, BCĐ sổ tay đảng viên, BCĐ nghị quyết 18; tổ giúp việc vụ án vụ việc)</t>
  </si>
  <si>
    <t xml:space="preserve">Trả tiền điện đèn cao áp Trung tâm huyện </t>
  </si>
  <si>
    <t>Thu gom rác thải, xử lý rác thải và một số nhiệm vụ liên quan đến lĩnh vực môi trường và một số nhiệm vụ khác</t>
  </si>
  <si>
    <t>Kinh phí để thực hiện vệ sinh môi trường; thu gom, vận chuyển, xử lý chất thải rắn sinh hoạt</t>
  </si>
  <si>
    <t>Sữa chữa, duy tu, bão dưỡng, bảo dưỡng hệ thống điện chiếu sáng, hệ thống thoát nước, hạ tầng giao thông; duy trì, trồng và chăm sóc cây xanh</t>
  </si>
  <si>
    <t>Dự toán năm 2025</t>
  </si>
  <si>
    <t>(Kèm theo Tờ trình số 79/TTr-UBND ngày 06/12/2024 của UBND huyện Sơn Tây)</t>
  </si>
  <si>
    <t>DỰ TOÁN
2025</t>
  </si>
  <si>
    <t xml:space="preserve">- Kinh phí tham quan học tập kinh nghiệm </t>
  </si>
  <si>
    <t xml:space="preserve">        - Đinh mức chi hoạt động sự nghiệp giáo dục 25 triệu đồng/biên chế có mặt. Đã trừ 10% tiết kiệm chi.</t>
  </si>
  <si>
    <t>(kèm theo Tờ trình số 79/TTr-UBND ngày 05/12/2024 của UBND huyện Sơn Tây)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</si>
</sst>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_-* #,##0\ _₫_-;\-* #,##0\ _₫_-;_-* &quot;-&quot;??\ _₫_-;_-@_-"/>
    <numFmt numFmtId="167" formatCode="#,##0;[Red]#,##0"/>
    <numFmt numFmtId="168" formatCode="_-* #,##0.00\ _₫_-;\-* #,##0.00\ _₫_-;_-* &quot;-&quot;??\ _₫_-;_-@_-"/>
  </numFmts>
  <fonts count="45" x14ac:knownFonts="1">
    <font>
      <sz val="11"/>
      <color theme="1"/>
      <name val="Calibri"/>
      <family val="2"/>
      <scheme val="minor"/>
    </font>
    <font>
      <sz val="11"/>
      <color theme="1"/>
      <name val="Calibri"/>
      <family val="2"/>
      <scheme val="minor"/>
    </font>
    <font>
      <sz val="11"/>
      <name val="Times New Roman"/>
      <family val="1"/>
    </font>
    <font>
      <i/>
      <sz val="11"/>
      <name val="Times New Roman"/>
      <family val="1"/>
    </font>
    <font>
      <sz val="10"/>
      <name val="Arial"/>
      <family val="2"/>
    </font>
    <font>
      <b/>
      <sz val="11"/>
      <name val="Times New Roman"/>
      <family val="1"/>
    </font>
    <font>
      <b/>
      <i/>
      <sz val="11"/>
      <name val="Times New Roman"/>
      <family val="1"/>
    </font>
    <font>
      <sz val="10"/>
      <name val="Arial"/>
      <family val="2"/>
    </font>
    <font>
      <b/>
      <sz val="10"/>
      <name val="Times New Roman"/>
      <family val="1"/>
    </font>
    <font>
      <sz val="10"/>
      <name val="Times New Roman"/>
      <family val="1"/>
    </font>
    <font>
      <sz val="14"/>
      <name val="Times New Roman"/>
      <family val="1"/>
    </font>
    <font>
      <i/>
      <sz val="14"/>
      <name val="Times New Roman"/>
      <family val="1"/>
    </font>
    <font>
      <b/>
      <sz val="14"/>
      <name val="Times New Roman"/>
      <family val="1"/>
    </font>
    <font>
      <sz val="12"/>
      <name val="Times New Roman"/>
      <family val="1"/>
    </font>
    <font>
      <i/>
      <sz val="12"/>
      <name val="Times New Roman"/>
      <family val="1"/>
    </font>
    <font>
      <b/>
      <sz val="12"/>
      <name val="Times New Roman"/>
      <family val="1"/>
    </font>
    <font>
      <i/>
      <sz val="10"/>
      <name val="Times New Roman"/>
      <family val="1"/>
    </font>
    <font>
      <i/>
      <sz val="13"/>
      <name val="Times New Roman"/>
      <family val="1"/>
    </font>
    <font>
      <sz val="11"/>
      <name val="Calibri"/>
      <family val="2"/>
    </font>
    <font>
      <sz val="13"/>
      <name val="Times New Roman"/>
      <family val="1"/>
    </font>
    <font>
      <b/>
      <sz val="13"/>
      <name val="Times New Roman"/>
      <family val="1"/>
    </font>
    <font>
      <b/>
      <sz val="9"/>
      <color indexed="81"/>
      <name val="Tahoma"/>
      <family val="2"/>
    </font>
    <font>
      <b/>
      <i/>
      <sz val="10"/>
      <name val="Times New Roman"/>
      <family val="1"/>
    </font>
    <font>
      <b/>
      <sz val="10"/>
      <color indexed="16"/>
      <name val="Times New Roman"/>
      <family val="1"/>
    </font>
    <font>
      <sz val="11"/>
      <color theme="1"/>
      <name val="Times New Roman"/>
      <family val="1"/>
    </font>
    <font>
      <sz val="10"/>
      <color theme="1"/>
      <name val="Times New Roman"/>
      <family val="1"/>
    </font>
    <font>
      <b/>
      <sz val="10"/>
      <color theme="1"/>
      <name val="Times New Roman"/>
      <family val="1"/>
    </font>
    <font>
      <b/>
      <sz val="12"/>
      <color indexed="10"/>
      <name val="Times New Roman"/>
      <family val="1"/>
    </font>
    <font>
      <sz val="12"/>
      <color indexed="12"/>
      <name val="Times New Roman"/>
      <family val="1"/>
    </font>
    <font>
      <sz val="13"/>
      <color theme="1"/>
      <name val="Calibri"/>
      <family val="2"/>
      <scheme val="minor"/>
    </font>
    <font>
      <sz val="14"/>
      <color theme="1"/>
      <name val="Calibri"/>
      <family val="2"/>
      <scheme val="minor"/>
    </font>
    <font>
      <sz val="11"/>
      <name val="Calibri"/>
      <family val="2"/>
      <scheme val="minor"/>
    </font>
    <font>
      <sz val="9"/>
      <name val="Times New Roman"/>
      <family val="1"/>
    </font>
    <font>
      <b/>
      <sz val="9"/>
      <name val="Times New Roman"/>
      <family val="1"/>
    </font>
    <font>
      <i/>
      <u/>
      <sz val="11"/>
      <name val="Times New Roman"/>
      <family val="1"/>
    </font>
    <font>
      <sz val="11"/>
      <color rgb="FFFF0000"/>
      <name val="Times New Roman"/>
      <family val="1"/>
    </font>
    <font>
      <sz val="10"/>
      <color rgb="FF0070C0"/>
      <name val="Times New Roman"/>
      <family val="1"/>
    </font>
    <font>
      <i/>
      <sz val="9"/>
      <name val="Times New Roman"/>
      <family val="1"/>
    </font>
    <font>
      <b/>
      <i/>
      <sz val="9"/>
      <name val="Times New Roman"/>
      <family val="1"/>
    </font>
    <font>
      <sz val="9"/>
      <color rgb="FFFF0000"/>
      <name val="Times New Roman"/>
      <family val="1"/>
    </font>
    <font>
      <sz val="9"/>
      <name val="Calibri"/>
      <family val="2"/>
      <scheme val="minor"/>
    </font>
    <font>
      <sz val="13"/>
      <color rgb="FFFF0000"/>
      <name val="Times New Roman"/>
      <family val="1"/>
    </font>
    <font>
      <sz val="14"/>
      <color rgb="FFFF0000"/>
      <name val="Times New Roman"/>
      <family val="1"/>
    </font>
    <font>
      <sz val="9"/>
      <name val="Arial"/>
      <family val="2"/>
    </font>
    <font>
      <sz val="10"/>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diagonal/>
    </border>
  </borders>
  <cellStyleXfs count="9">
    <xf numFmtId="0" fontId="0" fillId="0" borderId="0"/>
    <xf numFmtId="164"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4" fillId="0" borderId="0"/>
    <xf numFmtId="9" fontId="1" fillId="0" borderId="0" applyFont="0" applyFill="0" applyBorder="0" applyAlignment="0" applyProtection="0"/>
    <xf numFmtId="164" fontId="4" fillId="0" borderId="0" applyFont="0" applyFill="0" applyBorder="0" applyAlignment="0" applyProtection="0"/>
    <xf numFmtId="0" fontId="4" fillId="0" borderId="0"/>
    <xf numFmtId="168" fontId="4" fillId="0" borderId="0" applyFont="0" applyFill="0" applyBorder="0" applyAlignment="0" applyProtection="0"/>
  </cellStyleXfs>
  <cellXfs count="303">
    <xf numFmtId="0" fontId="0" fillId="0" borderId="0" xfId="0"/>
    <xf numFmtId="0" fontId="5" fillId="0" borderId="2" xfId="2" applyNumberFormat="1" applyFont="1" applyFill="1" applyBorder="1" applyAlignment="1">
      <alignment horizontal="center" vertical="center" wrapText="1"/>
    </xf>
    <xf numFmtId="3" fontId="5" fillId="0" borderId="2" xfId="2" applyNumberFormat="1" applyFont="1" applyFill="1" applyBorder="1" applyAlignment="1">
      <alignment vertical="center" wrapText="1"/>
    </xf>
    <xf numFmtId="49" fontId="2" fillId="0" borderId="2" xfId="0" quotePrefix="1" applyNumberFormat="1" applyFont="1" applyBorder="1" applyAlignment="1">
      <alignment vertical="center" wrapText="1"/>
    </xf>
    <xf numFmtId="0" fontId="2" fillId="0" borderId="2" xfId="2" applyNumberFormat="1" applyFont="1" applyFill="1" applyBorder="1" applyAlignment="1">
      <alignment horizontal="center" vertical="center" wrapText="1"/>
    </xf>
    <xf numFmtId="3" fontId="2" fillId="0" borderId="2" xfId="2" applyNumberFormat="1" applyFont="1" applyFill="1" applyBorder="1" applyAlignment="1">
      <alignment vertical="center" wrapText="1"/>
    </xf>
    <xf numFmtId="0" fontId="9" fillId="0" borderId="0" xfId="0" applyFont="1"/>
    <xf numFmtId="0" fontId="10" fillId="0" borderId="0" xfId="0" applyFont="1"/>
    <xf numFmtId="0" fontId="12" fillId="0" borderId="2" xfId="0" applyFont="1" applyBorder="1" applyAlignment="1">
      <alignment horizontal="center" vertical="center" wrapText="1"/>
    </xf>
    <xf numFmtId="0" fontId="12" fillId="0" borderId="0" xfId="0" applyFont="1"/>
    <xf numFmtId="0" fontId="10" fillId="0" borderId="2" xfId="0" applyFont="1" applyBorder="1" applyAlignment="1">
      <alignment horizontal="center" vertical="center" wrapText="1"/>
    </xf>
    <xf numFmtId="0" fontId="12" fillId="0" borderId="2" xfId="0" applyFont="1" applyBorder="1"/>
    <xf numFmtId="165" fontId="12" fillId="0" borderId="2" xfId="1" applyNumberFormat="1" applyFont="1" applyBorder="1" applyAlignment="1">
      <alignment horizontal="center" vertical="center" wrapText="1"/>
    </xf>
    <xf numFmtId="0" fontId="18" fillId="2" borderId="0" xfId="0" applyFont="1" applyFill="1"/>
    <xf numFmtId="3" fontId="18" fillId="2" borderId="0" xfId="0" applyNumberFormat="1" applyFont="1" applyFill="1"/>
    <xf numFmtId="0" fontId="14" fillId="2" borderId="0" xfId="0" applyFont="1" applyFill="1" applyAlignment="1">
      <alignment horizontal="right" vertical="center"/>
    </xf>
    <xf numFmtId="0" fontId="9" fillId="2" borderId="2" xfId="0" applyFont="1" applyFill="1" applyBorder="1" applyAlignment="1">
      <alignment horizontal="center" vertical="center" wrapText="1"/>
    </xf>
    <xf numFmtId="0" fontId="8" fillId="2" borderId="2" xfId="0" applyFont="1" applyFill="1" applyBorder="1" applyAlignment="1">
      <alignment vertical="center" wrapText="1"/>
    </xf>
    <xf numFmtId="3" fontId="8" fillId="2" borderId="2" xfId="0" applyNumberFormat="1" applyFont="1" applyFill="1" applyBorder="1" applyAlignment="1">
      <alignment horizontal="right" vertical="center" wrapText="1"/>
    </xf>
    <xf numFmtId="0" fontId="11" fillId="0" borderId="0" xfId="0" applyFont="1" applyAlignment="1">
      <alignment horizontal="right"/>
    </xf>
    <xf numFmtId="0" fontId="10" fillId="0" borderId="1" xfId="0" applyFont="1" applyBorder="1" applyAlignment="1">
      <alignment horizontal="center" vertical="center" wrapText="1"/>
    </xf>
    <xf numFmtId="49" fontId="10" fillId="0" borderId="1" xfId="0" applyNumberFormat="1" applyFont="1" applyBorder="1" applyAlignment="1">
      <alignment horizontal="left" vertical="center" wrapText="1"/>
    </xf>
    <xf numFmtId="165" fontId="10" fillId="0" borderId="1" xfId="1" applyNumberFormat="1" applyFont="1" applyBorder="1" applyAlignment="1">
      <alignment horizontal="center" vertical="center" wrapText="1"/>
    </xf>
    <xf numFmtId="49" fontId="10" fillId="0" borderId="2" xfId="0" applyNumberFormat="1" applyFont="1" applyBorder="1" applyAlignment="1">
      <alignment horizontal="left" vertical="center" wrapText="1"/>
    </xf>
    <xf numFmtId="49" fontId="10" fillId="0" borderId="4" xfId="0" applyNumberFormat="1" applyFont="1" applyBorder="1" applyAlignment="1">
      <alignment vertical="center" wrapText="1"/>
    </xf>
    <xf numFmtId="0" fontId="19" fillId="0" borderId="0" xfId="0" applyFont="1"/>
    <xf numFmtId="0" fontId="20"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5" fillId="0" borderId="0" xfId="0" applyFont="1"/>
    <xf numFmtId="0" fontId="14" fillId="0" borderId="0" xfId="0" applyFont="1" applyAlignment="1">
      <alignment horizontal="center" vertical="center"/>
    </xf>
    <xf numFmtId="0" fontId="18" fillId="0" borderId="0" xfId="0" applyFont="1"/>
    <xf numFmtId="0" fontId="14" fillId="0" borderId="0" xfId="0" applyFont="1" applyAlignment="1">
      <alignment horizontal="right" vertical="center"/>
    </xf>
    <xf numFmtId="0" fontId="15"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0" xfId="0" applyFont="1" applyAlignment="1">
      <alignment vertical="center"/>
    </xf>
    <xf numFmtId="165" fontId="13" fillId="0" borderId="0" xfId="3" applyNumberFormat="1" applyFont="1" applyFill="1"/>
    <xf numFmtId="0" fontId="13" fillId="0" borderId="0" xfId="3" applyNumberFormat="1" applyFont="1" applyFill="1" applyAlignment="1">
      <alignment horizontal="center" vertical="center"/>
    </xf>
    <xf numFmtId="165" fontId="9" fillId="0" borderId="0" xfId="3" applyNumberFormat="1" applyFont="1" applyFill="1" applyAlignment="1">
      <alignment horizontal="center" vertical="center" wrapText="1"/>
    </xf>
    <xf numFmtId="165" fontId="8" fillId="0" borderId="3" xfId="3" quotePrefix="1" applyNumberFormat="1" applyFont="1" applyFill="1" applyBorder="1" applyAlignment="1">
      <alignment horizontal="center" vertical="center" wrapText="1"/>
    </xf>
    <xf numFmtId="0" fontId="9" fillId="0" borderId="2" xfId="3" applyNumberFormat="1" applyFont="1" applyFill="1" applyBorder="1" applyAlignment="1">
      <alignment horizontal="center" vertical="center" wrapText="1"/>
    </xf>
    <xf numFmtId="3" fontId="8" fillId="0" borderId="2" xfId="3" applyNumberFormat="1" applyFont="1" applyFill="1" applyBorder="1" applyAlignment="1">
      <alignment vertical="center" wrapText="1"/>
    </xf>
    <xf numFmtId="165" fontId="8" fillId="0" borderId="0" xfId="3" applyNumberFormat="1" applyFont="1" applyFill="1" applyAlignment="1">
      <alignment horizontal="center" vertical="center" wrapText="1"/>
    </xf>
    <xf numFmtId="3" fontId="9" fillId="0" borderId="2" xfId="3" applyNumberFormat="1" applyFont="1" applyFill="1" applyBorder="1" applyAlignment="1">
      <alignment vertical="center" wrapText="1"/>
    </xf>
    <xf numFmtId="0" fontId="9" fillId="0" borderId="2" xfId="3" quotePrefix="1" applyNumberFormat="1" applyFont="1" applyFill="1" applyBorder="1" applyAlignment="1">
      <alignment horizontal="center" vertical="center" wrapText="1"/>
    </xf>
    <xf numFmtId="49" fontId="9" fillId="0" borderId="2" xfId="0" applyNumberFormat="1" applyFont="1" applyBorder="1" applyAlignment="1">
      <alignment horizontal="left" vertical="center" wrapText="1"/>
    </xf>
    <xf numFmtId="49" fontId="9" fillId="0" borderId="2" xfId="0" quotePrefix="1" applyNumberFormat="1" applyFont="1" applyBorder="1" applyAlignment="1">
      <alignment horizontal="left" vertical="center" wrapText="1"/>
    </xf>
    <xf numFmtId="3" fontId="9" fillId="0" borderId="2" xfId="0" applyNumberFormat="1" applyFont="1" applyBorder="1" applyAlignment="1">
      <alignment vertical="center" wrapText="1"/>
    </xf>
    <xf numFmtId="0" fontId="8" fillId="0" borderId="2" xfId="3" quotePrefix="1" applyNumberFormat="1" applyFont="1" applyFill="1" applyBorder="1" applyAlignment="1">
      <alignment horizontal="center" vertical="center" wrapText="1"/>
    </xf>
    <xf numFmtId="49" fontId="8" fillId="0" borderId="2" xfId="0" applyNumberFormat="1" applyFont="1" applyBorder="1" applyAlignment="1">
      <alignment horizontal="left" vertical="center" wrapText="1"/>
    </xf>
    <xf numFmtId="0" fontId="26" fillId="3" borderId="2" xfId="0" applyFont="1" applyFill="1" applyBorder="1" applyAlignment="1">
      <alignment vertical="center"/>
    </xf>
    <xf numFmtId="3" fontId="26" fillId="3" borderId="2" xfId="2" applyNumberFormat="1" applyFont="1" applyFill="1" applyBorder="1" applyAlignment="1">
      <alignment horizontal="right" vertical="center" shrinkToFit="1"/>
    </xf>
    <xf numFmtId="0" fontId="27" fillId="3" borderId="0" xfId="0" applyFont="1" applyFill="1"/>
    <xf numFmtId="0" fontId="28" fillId="3" borderId="0" xfId="0" applyFont="1" applyFill="1"/>
    <xf numFmtId="0" fontId="26" fillId="3" borderId="2" xfId="0" applyFont="1" applyFill="1" applyBorder="1" applyAlignment="1">
      <alignment horizontal="center" vertical="center"/>
    </xf>
    <xf numFmtId="3" fontId="26" fillId="3" borderId="2" xfId="2" applyNumberFormat="1" applyFont="1" applyFill="1" applyBorder="1" applyAlignment="1">
      <alignment vertical="center" wrapText="1" shrinkToFit="1"/>
    </xf>
    <xf numFmtId="0" fontId="13" fillId="0" borderId="0" xfId="0" applyFont="1"/>
    <xf numFmtId="0" fontId="19" fillId="0" borderId="0" xfId="0" applyFont="1" applyAlignment="1">
      <alignment horizontal="center"/>
    </xf>
    <xf numFmtId="0" fontId="17" fillId="0" borderId="0" xfId="0" applyFont="1"/>
    <xf numFmtId="0" fontId="17" fillId="0" borderId="0" xfId="0" applyFont="1" applyAlignment="1">
      <alignment horizontal="right"/>
    </xf>
    <xf numFmtId="0" fontId="20" fillId="0" borderId="0" xfId="0" applyFont="1"/>
    <xf numFmtId="0" fontId="20" fillId="0" borderId="6" xfId="0" applyFont="1" applyBorder="1" applyAlignment="1">
      <alignment horizontal="center"/>
    </xf>
    <xf numFmtId="0" fontId="20" fillId="0" borderId="6" xfId="0" applyFont="1" applyBorder="1"/>
    <xf numFmtId="165" fontId="20" fillId="0" borderId="6" xfId="2" applyNumberFormat="1" applyFont="1" applyBorder="1"/>
    <xf numFmtId="0" fontId="19" fillId="0" borderId="6" xfId="0" applyFont="1" applyBorder="1" applyAlignment="1">
      <alignment horizontal="center"/>
    </xf>
    <xf numFmtId="0" fontId="19" fillId="0" borderId="6" xfId="0" applyFont="1" applyBorder="1"/>
    <xf numFmtId="165" fontId="19" fillId="0" borderId="6" xfId="2" applyNumberFormat="1" applyFont="1" applyBorder="1"/>
    <xf numFmtId="0" fontId="19" fillId="0" borderId="6" xfId="0" quotePrefix="1" applyFont="1" applyBorder="1"/>
    <xf numFmtId="0" fontId="17" fillId="0" borderId="6" xfId="0" quotePrefix="1" applyFont="1" applyBorder="1"/>
    <xf numFmtId="165" fontId="17" fillId="0" borderId="6" xfId="2" applyNumberFormat="1" applyFont="1" applyBorder="1"/>
    <xf numFmtId="0" fontId="19" fillId="0" borderId="12" xfId="0" applyFont="1" applyBorder="1" applyAlignment="1">
      <alignment horizontal="center"/>
    </xf>
    <xf numFmtId="0" fontId="19" fillId="0" borderId="12" xfId="0" quotePrefix="1" applyFont="1" applyBorder="1"/>
    <xf numFmtId="165" fontId="19" fillId="0" borderId="12" xfId="2" applyNumberFormat="1" applyFont="1" applyBorder="1"/>
    <xf numFmtId="0" fontId="19" fillId="0" borderId="7" xfId="0" applyFont="1" applyBorder="1" applyAlignment="1">
      <alignment horizontal="center"/>
    </xf>
    <xf numFmtId="0" fontId="19" fillId="0" borderId="7" xfId="0" applyFont="1" applyBorder="1"/>
    <xf numFmtId="165" fontId="19" fillId="0" borderId="7" xfId="2" applyNumberFormat="1" applyFont="1" applyBorder="1"/>
    <xf numFmtId="0" fontId="29" fillId="0" borderId="0" xfId="0" applyFont="1" applyAlignment="1">
      <alignment horizontal="center"/>
    </xf>
    <xf numFmtId="0" fontId="29" fillId="0" borderId="0" xfId="0" applyFont="1"/>
    <xf numFmtId="0" fontId="19" fillId="2" borderId="1" xfId="0" applyFont="1" applyFill="1" applyBorder="1"/>
    <xf numFmtId="165" fontId="19" fillId="0" borderId="1" xfId="1" applyNumberFormat="1" applyFont="1" applyBorder="1" applyAlignment="1">
      <alignment horizontal="center" vertical="center" wrapText="1"/>
    </xf>
    <xf numFmtId="0" fontId="19" fillId="0" borderId="2" xfId="0" applyFont="1" applyBorder="1" applyAlignment="1">
      <alignment horizontal="center"/>
    </xf>
    <xf numFmtId="0" fontId="19" fillId="2" borderId="2" xfId="0" applyFont="1" applyFill="1" applyBorder="1"/>
    <xf numFmtId="165" fontId="19" fillId="0" borderId="2" xfId="1" applyNumberFormat="1" applyFont="1" applyBorder="1" applyAlignment="1">
      <alignment horizontal="center" vertical="center" wrapText="1"/>
    </xf>
    <xf numFmtId="0" fontId="19" fillId="2" borderId="4" xfId="0" applyFont="1" applyFill="1" applyBorder="1"/>
    <xf numFmtId="165" fontId="19" fillId="0" borderId="4" xfId="1" applyNumberFormat="1" applyFont="1" applyBorder="1" applyAlignment="1">
      <alignment horizontal="center" vertical="center" wrapText="1"/>
    </xf>
    <xf numFmtId="0" fontId="20" fillId="0" borderId="2" xfId="0" applyFont="1" applyBorder="1"/>
    <xf numFmtId="165" fontId="20" fillId="0" borderId="2" xfId="1" applyNumberFormat="1" applyFont="1" applyBorder="1" applyAlignment="1">
      <alignment horizontal="center" vertical="center" wrapText="1"/>
    </xf>
    <xf numFmtId="3" fontId="15" fillId="0" borderId="2" xfId="1" applyNumberFormat="1" applyFont="1" applyBorder="1" applyAlignment="1">
      <alignment horizontal="right"/>
    </xf>
    <xf numFmtId="0" fontId="30" fillId="0" borderId="0" xfId="0" applyFont="1"/>
    <xf numFmtId="0" fontId="10" fillId="0" borderId="3" xfId="0" applyFont="1" applyBorder="1"/>
    <xf numFmtId="167" fontId="10" fillId="0" borderId="1" xfId="0" applyNumberFormat="1" applyFont="1" applyBorder="1" applyAlignment="1">
      <alignment vertical="center" wrapText="1"/>
    </xf>
    <xf numFmtId="0" fontId="10" fillId="0" borderId="4" xfId="0" applyFont="1" applyBorder="1"/>
    <xf numFmtId="167" fontId="10" fillId="0" borderId="4" xfId="0" applyNumberFormat="1" applyFont="1" applyBorder="1" applyAlignment="1">
      <alignment vertical="center" wrapText="1"/>
    </xf>
    <xf numFmtId="0" fontId="10" fillId="0" borderId="2" xfId="0" applyFont="1" applyBorder="1" applyAlignment="1">
      <alignment horizontal="center"/>
    </xf>
    <xf numFmtId="0" fontId="10" fillId="0" borderId="2" xfId="0" applyFont="1" applyBorder="1"/>
    <xf numFmtId="167" fontId="10" fillId="0" borderId="2" xfId="0" applyNumberFormat="1" applyFont="1" applyBorder="1" applyAlignment="1">
      <alignment vertical="center" wrapText="1"/>
    </xf>
    <xf numFmtId="3" fontId="10" fillId="0" borderId="2" xfId="0" applyNumberFormat="1" applyFont="1" applyBorder="1" applyAlignment="1">
      <alignment horizontal="right" vertical="center" wrapText="1"/>
    </xf>
    <xf numFmtId="0" fontId="20" fillId="0" borderId="2" xfId="0" applyFont="1" applyBorder="1" applyAlignment="1">
      <alignment vertical="center" wrapText="1"/>
    </xf>
    <xf numFmtId="167" fontId="20" fillId="0" borderId="2" xfId="0" applyNumberFormat="1" applyFont="1" applyBorder="1" applyAlignment="1">
      <alignment vertical="center" wrapText="1"/>
    </xf>
    <xf numFmtId="0" fontId="31" fillId="0" borderId="0" xfId="0" applyFont="1"/>
    <xf numFmtId="0" fontId="9" fillId="2" borderId="2" xfId="0" applyFont="1" applyFill="1" applyBorder="1" applyAlignment="1">
      <alignment horizontal="center" vertical="center"/>
    </xf>
    <xf numFmtId="0" fontId="9" fillId="2" borderId="2" xfId="0" applyFont="1" applyFill="1" applyBorder="1" applyAlignment="1">
      <alignment vertical="center"/>
    </xf>
    <xf numFmtId="3" fontId="9" fillId="2" borderId="2" xfId="0" applyNumberFormat="1" applyFont="1" applyFill="1" applyBorder="1" applyAlignment="1">
      <alignment horizontal="right" vertical="center" wrapText="1"/>
    </xf>
    <xf numFmtId="0" fontId="4" fillId="2" borderId="0" xfId="0" applyFont="1" applyFill="1"/>
    <xf numFmtId="167" fontId="29" fillId="0" borderId="0" xfId="0" applyNumberFormat="1" applyFont="1"/>
    <xf numFmtId="9" fontId="30" fillId="0" borderId="0" xfId="5" applyFont="1"/>
    <xf numFmtId="165" fontId="19" fillId="0" borderId="0" xfId="1" applyNumberFormat="1" applyFont="1"/>
    <xf numFmtId="165" fontId="20" fillId="0" borderId="0" xfId="1" applyNumberFormat="1" applyFont="1"/>
    <xf numFmtId="165" fontId="19" fillId="0" borderId="6" xfId="1" applyNumberFormat="1" applyFont="1" applyBorder="1"/>
    <xf numFmtId="165" fontId="29" fillId="0" borderId="0" xfId="1" applyNumberFormat="1" applyFont="1"/>
    <xf numFmtId="10" fontId="19" fillId="0" borderId="0" xfId="5" applyNumberFormat="1" applyFont="1"/>
    <xf numFmtId="0" fontId="32" fillId="0" borderId="2" xfId="3" applyNumberFormat="1" applyFont="1" applyFill="1" applyBorder="1" applyAlignment="1">
      <alignment horizontal="center" vertical="center" wrapText="1"/>
    </xf>
    <xf numFmtId="165" fontId="33" fillId="0" borderId="2" xfId="3" applyNumberFormat="1" applyFont="1" applyFill="1" applyBorder="1" applyAlignment="1">
      <alignment horizontal="left" vertical="center" wrapText="1"/>
    </xf>
    <xf numFmtId="3" fontId="33" fillId="0" borderId="2" xfId="3" applyNumberFormat="1" applyFont="1" applyFill="1" applyBorder="1" applyAlignment="1">
      <alignment vertical="center" wrapText="1"/>
    </xf>
    <xf numFmtId="165" fontId="33" fillId="0" borderId="0" xfId="3" applyNumberFormat="1" applyFont="1" applyFill="1" applyAlignment="1">
      <alignment horizontal="center" vertical="center" wrapText="1"/>
    </xf>
    <xf numFmtId="0" fontId="33" fillId="0" borderId="2" xfId="3" applyNumberFormat="1" applyFont="1" applyFill="1" applyBorder="1" applyAlignment="1">
      <alignment horizontal="center" vertical="center" wrapText="1"/>
    </xf>
    <xf numFmtId="49" fontId="33" fillId="0" borderId="2" xfId="0" applyNumberFormat="1" applyFont="1" applyBorder="1" applyAlignment="1">
      <alignment horizontal="left" vertical="center" wrapText="1"/>
    </xf>
    <xf numFmtId="0" fontId="33" fillId="0" borderId="2" xfId="3" quotePrefix="1" applyNumberFormat="1" applyFont="1" applyFill="1" applyBorder="1" applyAlignment="1">
      <alignment horizontal="center" vertical="center" wrapText="1"/>
    </xf>
    <xf numFmtId="3" fontId="9" fillId="0" borderId="2" xfId="4" applyNumberFormat="1" applyFont="1" applyBorder="1" applyAlignment="1">
      <alignment horizontal="right" vertical="center" wrapText="1"/>
    </xf>
    <xf numFmtId="49" fontId="35" fillId="0" borderId="2" xfId="0" quotePrefix="1" applyNumberFormat="1" applyFont="1" applyBorder="1" applyAlignment="1">
      <alignment vertical="center" wrapText="1"/>
    </xf>
    <xf numFmtId="49" fontId="36" fillId="0" borderId="2" xfId="0" applyNumberFormat="1" applyFont="1" applyBorder="1" applyAlignment="1">
      <alignment horizontal="left" vertical="center" wrapText="1"/>
    </xf>
    <xf numFmtId="3" fontId="36" fillId="0" borderId="2" xfId="3" applyNumberFormat="1" applyFont="1" applyFill="1" applyBorder="1" applyAlignment="1">
      <alignment vertical="center" wrapText="1"/>
    </xf>
    <xf numFmtId="3" fontId="36" fillId="0" borderId="2" xfId="4" applyNumberFormat="1" applyFont="1" applyBorder="1" applyAlignment="1">
      <alignment horizontal="right" vertical="center" wrapText="1"/>
    </xf>
    <xf numFmtId="165" fontId="36" fillId="0" borderId="0" xfId="3" applyNumberFormat="1" applyFont="1" applyFill="1" applyAlignment="1">
      <alignment horizontal="center" vertical="center" wrapText="1"/>
    </xf>
    <xf numFmtId="0" fontId="8" fillId="2" borderId="2" xfId="0" applyFont="1" applyFill="1" applyBorder="1" applyAlignment="1">
      <alignment horizontal="center" vertical="center" wrapText="1"/>
    </xf>
    <xf numFmtId="0" fontId="5" fillId="0" borderId="0" xfId="0" applyFont="1" applyAlignment="1">
      <alignment horizontal="center" vertical="center"/>
    </xf>
    <xf numFmtId="0" fontId="8" fillId="0" borderId="3" xfId="3" applyNumberFormat="1" applyFont="1" applyFill="1" applyBorder="1" applyAlignment="1">
      <alignment horizontal="center" vertical="center" wrapText="1"/>
    </xf>
    <xf numFmtId="165" fontId="8" fillId="0" borderId="2" xfId="3" applyNumberFormat="1" applyFont="1" applyFill="1" applyBorder="1" applyAlignment="1">
      <alignment horizontal="center" vertical="center" wrapText="1"/>
    </xf>
    <xf numFmtId="3" fontId="5" fillId="0" borderId="2" xfId="2" applyNumberFormat="1" applyFont="1" applyFill="1" applyBorder="1" applyAlignment="1">
      <alignment horizontal="center" vertical="center" wrapText="1"/>
    </xf>
    <xf numFmtId="165" fontId="33" fillId="0" borderId="2" xfId="2" applyNumberFormat="1" applyFont="1" applyFill="1" applyBorder="1" applyAlignment="1">
      <alignment horizontal="center" vertical="center" wrapText="1"/>
    </xf>
    <xf numFmtId="165" fontId="37" fillId="0" borderId="2" xfId="2" applyNumberFormat="1" applyFont="1" applyFill="1" applyBorder="1" applyAlignment="1">
      <alignment horizontal="center" vertical="center" wrapText="1"/>
    </xf>
    <xf numFmtId="165" fontId="32" fillId="0" borderId="2" xfId="2" applyNumberFormat="1" applyFont="1" applyFill="1" applyBorder="1" applyAlignment="1">
      <alignment horizontal="center" vertical="center" wrapText="1"/>
    </xf>
    <xf numFmtId="0" fontId="6" fillId="0" borderId="2" xfId="2" applyNumberFormat="1" applyFont="1" applyFill="1" applyBorder="1" applyAlignment="1">
      <alignment horizontal="center" vertical="center" wrapText="1"/>
    </xf>
    <xf numFmtId="3" fontId="6" fillId="0" borderId="2" xfId="2" applyNumberFormat="1" applyFont="1" applyFill="1" applyBorder="1" applyAlignment="1">
      <alignment vertical="center" wrapText="1"/>
    </xf>
    <xf numFmtId="165" fontId="38" fillId="0" borderId="2" xfId="2" applyNumberFormat="1" applyFont="1" applyFill="1" applyBorder="1" applyAlignment="1">
      <alignment horizontal="center" vertical="center" wrapText="1"/>
    </xf>
    <xf numFmtId="165" fontId="9" fillId="0" borderId="2" xfId="3" applyNumberFormat="1" applyFont="1" applyFill="1" applyBorder="1" applyAlignment="1">
      <alignment horizontal="left" vertical="center" wrapText="1"/>
    </xf>
    <xf numFmtId="3" fontId="32" fillId="0" borderId="2" xfId="3" applyNumberFormat="1" applyFont="1" applyFill="1" applyBorder="1" applyAlignment="1">
      <alignment vertical="center" wrapText="1"/>
    </xf>
    <xf numFmtId="165" fontId="32" fillId="0" borderId="0" xfId="3" applyNumberFormat="1" applyFont="1" applyFill="1" applyAlignment="1">
      <alignment horizontal="center" vertical="center" wrapText="1"/>
    </xf>
    <xf numFmtId="165" fontId="32" fillId="0" borderId="2" xfId="3" quotePrefix="1" applyNumberFormat="1" applyFont="1" applyFill="1" applyBorder="1" applyAlignment="1">
      <alignment horizontal="left" vertical="center" wrapText="1"/>
    </xf>
    <xf numFmtId="3" fontId="39" fillId="0" borderId="2" xfId="3" applyNumberFormat="1" applyFont="1" applyFill="1" applyBorder="1" applyAlignment="1">
      <alignment vertical="center" wrapText="1"/>
    </xf>
    <xf numFmtId="3" fontId="31" fillId="0" borderId="0" xfId="0" applyNumberFormat="1" applyFont="1"/>
    <xf numFmtId="0" fontId="23" fillId="3" borderId="2" xfId="0" applyFont="1" applyFill="1" applyBorder="1" applyAlignment="1">
      <alignment horizontal="center" vertical="center" wrapText="1"/>
    </xf>
    <xf numFmtId="0" fontId="23" fillId="3" borderId="2" xfId="0" applyFont="1" applyFill="1" applyBorder="1" applyAlignment="1">
      <alignment horizontal="center" vertical="center"/>
    </xf>
    <xf numFmtId="0" fontId="41" fillId="0" borderId="7" xfId="0" applyFont="1" applyBorder="1" applyAlignment="1">
      <alignment horizontal="center" vertical="center" wrapText="1"/>
    </xf>
    <xf numFmtId="3" fontId="41" fillId="0" borderId="8" xfId="1" applyNumberFormat="1" applyFont="1" applyBorder="1" applyAlignment="1">
      <alignment horizontal="right" vertical="center" wrapText="1"/>
    </xf>
    <xf numFmtId="0" fontId="41" fillId="0" borderId="0" xfId="0" applyFont="1"/>
    <xf numFmtId="0" fontId="41" fillId="0" borderId="1" xfId="0" applyFont="1" applyBorder="1" applyAlignment="1">
      <alignment horizontal="center" vertical="center" wrapText="1"/>
    </xf>
    <xf numFmtId="49" fontId="41" fillId="0" borderId="1" xfId="0" applyNumberFormat="1" applyFont="1" applyBorder="1" applyAlignment="1">
      <alignment horizontal="left" vertical="center" wrapText="1"/>
    </xf>
    <xf numFmtId="3" fontId="41" fillId="0" borderId="1" xfId="1" applyNumberFormat="1" applyFont="1" applyBorder="1" applyAlignment="1">
      <alignment horizontal="right" vertical="center" wrapText="1"/>
    </xf>
    <xf numFmtId="0" fontId="41" fillId="0" borderId="2" xfId="0" applyFont="1" applyBorder="1" applyAlignment="1">
      <alignment horizontal="center" vertical="center" wrapText="1"/>
    </xf>
    <xf numFmtId="3" fontId="41" fillId="0" borderId="2" xfId="1" applyNumberFormat="1" applyFont="1" applyBorder="1" applyAlignment="1">
      <alignment horizontal="right" vertical="center" wrapText="1"/>
    </xf>
    <xf numFmtId="0" fontId="41" fillId="0" borderId="4" xfId="0" applyFont="1" applyBorder="1" applyAlignment="1">
      <alignment horizontal="center" vertical="center" wrapText="1"/>
    </xf>
    <xf numFmtId="3" fontId="41" fillId="0" borderId="0" xfId="0" applyNumberFormat="1" applyFont="1"/>
    <xf numFmtId="0" fontId="9" fillId="2" borderId="0" xfId="0" applyFont="1" applyFill="1"/>
    <xf numFmtId="0" fontId="24" fillId="3" borderId="0" xfId="0" applyFont="1" applyFill="1" applyAlignment="1">
      <alignment horizontal="center"/>
    </xf>
    <xf numFmtId="0" fontId="24" fillId="3" borderId="0" xfId="0" applyFont="1" applyFill="1"/>
    <xf numFmtId="0" fontId="42" fillId="3" borderId="0" xfId="0" applyFont="1" applyFill="1"/>
    <xf numFmtId="0" fontId="24" fillId="0" borderId="0" xfId="0" applyFont="1"/>
    <xf numFmtId="0" fontId="25" fillId="3" borderId="2" xfId="0" applyFont="1" applyFill="1" applyBorder="1" applyAlignment="1">
      <alignment horizontal="center" vertical="center"/>
    </xf>
    <xf numFmtId="0" fontId="24" fillId="3" borderId="2" xfId="0" applyFont="1" applyFill="1" applyBorder="1" applyAlignment="1">
      <alignment vertical="center"/>
    </xf>
    <xf numFmtId="3" fontId="25" fillId="3" borderId="2" xfId="2" applyNumberFormat="1" applyFont="1" applyFill="1" applyBorder="1" applyAlignment="1">
      <alignment vertical="center" shrinkToFit="1"/>
    </xf>
    <xf numFmtId="166" fontId="25" fillId="3" borderId="2" xfId="2" applyNumberFormat="1" applyFont="1" applyFill="1" applyBorder="1" applyAlignment="1">
      <alignment vertical="center"/>
    </xf>
    <xf numFmtId="0" fontId="25" fillId="3" borderId="2" xfId="0" applyFont="1" applyFill="1" applyBorder="1" applyAlignment="1">
      <alignment vertical="center"/>
    </xf>
    <xf numFmtId="0" fontId="25" fillId="3" borderId="0" xfId="0" applyFont="1" applyFill="1" applyAlignment="1">
      <alignment horizontal="center"/>
    </xf>
    <xf numFmtId="0" fontId="25" fillId="3" borderId="0" xfId="0" applyFont="1" applyFill="1"/>
    <xf numFmtId="3" fontId="25" fillId="3" borderId="2" xfId="0" applyNumberFormat="1" applyFont="1" applyFill="1" applyBorder="1" applyAlignment="1">
      <alignment vertical="center"/>
    </xf>
    <xf numFmtId="3" fontId="25" fillId="3" borderId="2" xfId="2" applyNumberFormat="1" applyFont="1" applyFill="1" applyBorder="1" applyAlignment="1">
      <alignment horizontal="right" vertical="center"/>
    </xf>
    <xf numFmtId="3" fontId="26" fillId="3" borderId="2" xfId="2" applyNumberFormat="1" applyFont="1" applyFill="1" applyBorder="1" applyAlignment="1">
      <alignment vertical="center" shrinkToFit="1"/>
    </xf>
    <xf numFmtId="3" fontId="4" fillId="2" borderId="0" xfId="0" applyNumberFormat="1" applyFont="1" applyFill="1"/>
    <xf numFmtId="165" fontId="10" fillId="0" borderId="0" xfId="3" applyNumberFormat="1" applyFont="1" applyFill="1"/>
    <xf numFmtId="0" fontId="32" fillId="2" borderId="2" xfId="0" applyFont="1" applyFill="1" applyBorder="1" applyAlignment="1">
      <alignment horizontal="center" vertical="center" wrapText="1"/>
    </xf>
    <xf numFmtId="0" fontId="32" fillId="2" borderId="2" xfId="0" quotePrefix="1" applyFont="1" applyFill="1" applyBorder="1" applyAlignment="1">
      <alignment horizontal="center" vertical="center" wrapText="1"/>
    </xf>
    <xf numFmtId="0" fontId="43" fillId="2" borderId="0" xfId="0" applyFont="1" applyFill="1"/>
    <xf numFmtId="0" fontId="44" fillId="3" borderId="2" xfId="0" applyFont="1" applyFill="1" applyBorder="1" applyAlignment="1">
      <alignment horizontal="center" vertical="center"/>
    </xf>
    <xf numFmtId="0" fontId="35" fillId="3" borderId="2" xfId="0" applyFont="1" applyFill="1" applyBorder="1" applyAlignment="1">
      <alignment vertical="center"/>
    </xf>
    <xf numFmtId="3" fontId="44" fillId="3" borderId="2" xfId="2" applyNumberFormat="1" applyFont="1" applyFill="1" applyBorder="1" applyAlignment="1">
      <alignment vertical="center" shrinkToFit="1"/>
    </xf>
    <xf numFmtId="166" fontId="44" fillId="3" borderId="2" xfId="2" applyNumberFormat="1" applyFont="1" applyFill="1" applyBorder="1" applyAlignment="1">
      <alignment vertical="center"/>
    </xf>
    <xf numFmtId="0" fontId="44" fillId="3" borderId="2" xfId="0" applyFont="1" applyFill="1" applyBorder="1" applyAlignment="1">
      <alignment vertical="center"/>
    </xf>
    <xf numFmtId="0" fontId="35" fillId="3" borderId="0" xfId="0" applyFont="1" applyFill="1" applyAlignment="1">
      <alignment horizontal="center"/>
    </xf>
    <xf numFmtId="0" fontId="35" fillId="3" borderId="0" xfId="0" applyFont="1" applyFill="1"/>
    <xf numFmtId="3" fontId="9" fillId="0" borderId="0" xfId="0" applyNumberFormat="1" applyFont="1"/>
    <xf numFmtId="0" fontId="8" fillId="0" borderId="2" xfId="3" applyNumberFormat="1" applyFont="1" applyFill="1" applyBorder="1" applyAlignment="1">
      <alignment horizontal="center" vertical="center" wrapText="1"/>
    </xf>
    <xf numFmtId="0" fontId="3" fillId="0" borderId="2" xfId="2" applyNumberFormat="1" applyFont="1" applyFill="1" applyBorder="1" applyAlignment="1">
      <alignment horizontal="center" vertical="center" wrapText="1"/>
    </xf>
    <xf numFmtId="3" fontId="3" fillId="0" borderId="2" xfId="2" applyNumberFormat="1" applyFont="1" applyFill="1" applyBorder="1" applyAlignment="1">
      <alignment vertical="center" wrapText="1"/>
    </xf>
    <xf numFmtId="0" fontId="5" fillId="0" borderId="0" xfId="2" applyNumberFormat="1" applyFont="1" applyFill="1" applyBorder="1" applyAlignment="1">
      <alignment horizontal="center" vertical="center" wrapText="1"/>
    </xf>
    <xf numFmtId="3" fontId="5" fillId="0" borderId="0" xfId="2" applyNumberFormat="1" applyFont="1" applyFill="1" applyBorder="1" applyAlignment="1">
      <alignment vertical="center" wrapText="1"/>
    </xf>
    <xf numFmtId="165" fontId="32" fillId="0" borderId="0" xfId="2" applyNumberFormat="1" applyFont="1" applyFill="1" applyBorder="1" applyAlignment="1">
      <alignment horizontal="center" vertical="center" wrapText="1"/>
    </xf>
    <xf numFmtId="0" fontId="2"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7" fillId="0" borderId="0" xfId="0" applyFont="1" applyAlignment="1">
      <alignment horizontal="center" vertical="center"/>
    </xf>
    <xf numFmtId="49" fontId="5" fillId="0" borderId="0" xfId="0" applyNumberFormat="1" applyFont="1"/>
    <xf numFmtId="0" fontId="2" fillId="0" borderId="0" xfId="0" applyFont="1" applyAlignment="1">
      <alignment horizontal="center"/>
    </xf>
    <xf numFmtId="3" fontId="2" fillId="0" borderId="0" xfId="0" applyNumberFormat="1" applyFont="1"/>
    <xf numFmtId="0" fontId="32" fillId="0" borderId="0" xfId="0" applyFont="1" applyAlignment="1">
      <alignment horizontal="center"/>
    </xf>
    <xf numFmtId="0" fontId="2" fillId="0" borderId="0" xfId="0" applyFont="1"/>
    <xf numFmtId="49" fontId="5" fillId="0" borderId="0" xfId="0" applyNumberFormat="1" applyFont="1" applyAlignment="1">
      <alignment vertical="center" wrapText="1"/>
    </xf>
    <xf numFmtId="0" fontId="2" fillId="0" borderId="0" xfId="0" applyFont="1" applyAlignment="1">
      <alignment horizontal="center" vertical="center" wrapText="1"/>
    </xf>
    <xf numFmtId="3" fontId="2" fillId="0" borderId="0" xfId="0" applyNumberFormat="1" applyFont="1" applyAlignment="1">
      <alignment vertical="center" wrapText="1"/>
    </xf>
    <xf numFmtId="0" fontId="32" fillId="0" borderId="0" xfId="0" applyFont="1" applyAlignment="1">
      <alignment horizontal="center" vertical="center" wrapText="1"/>
    </xf>
    <xf numFmtId="49" fontId="2" fillId="0" borderId="0" xfId="0" applyNumberFormat="1" applyFont="1"/>
    <xf numFmtId="3" fontId="5" fillId="0" borderId="0" xfId="0" applyNumberFormat="1" applyFont="1"/>
    <xf numFmtId="0" fontId="38" fillId="0" borderId="5" xfId="0" applyFont="1" applyBorder="1" applyAlignment="1">
      <alignment horizontal="center"/>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49" fontId="5" fillId="0" borderId="2" xfId="0" applyNumberFormat="1" applyFont="1" applyBorder="1" applyAlignment="1">
      <alignment vertical="center" wrapText="1"/>
    </xf>
    <xf numFmtId="0" fontId="5" fillId="0" borderId="2" xfId="0" applyFont="1" applyBorder="1" applyAlignment="1">
      <alignment horizontal="center" vertical="center" wrapText="1"/>
    </xf>
    <xf numFmtId="3" fontId="5" fillId="0" borderId="2" xfId="0" applyNumberFormat="1" applyFont="1" applyBorder="1" applyAlignment="1">
      <alignment vertical="center" wrapText="1"/>
    </xf>
    <xf numFmtId="165" fontId="33" fillId="0" borderId="2" xfId="0" applyNumberFormat="1" applyFont="1" applyBorder="1" applyAlignment="1">
      <alignment horizontal="center" vertical="center" wrapText="1"/>
    </xf>
    <xf numFmtId="0" fontId="5" fillId="0" borderId="0" xfId="0" applyFont="1" applyAlignment="1">
      <alignment horizontal="center" vertical="center" wrapText="1"/>
    </xf>
    <xf numFmtId="49" fontId="2" fillId="0" borderId="2" xfId="0" applyNumberFormat="1" applyFont="1" applyBorder="1" applyAlignment="1">
      <alignment vertical="center" wrapText="1"/>
    </xf>
    <xf numFmtId="0" fontId="2" fillId="0" borderId="2" xfId="0" applyFont="1" applyBorder="1" applyAlignment="1">
      <alignment horizontal="center" vertical="center" wrapText="1"/>
    </xf>
    <xf numFmtId="165" fontId="32" fillId="0" borderId="2" xfId="0" applyNumberFormat="1" applyFont="1" applyBorder="1" applyAlignment="1">
      <alignment horizontal="center" vertical="center" wrapText="1"/>
    </xf>
    <xf numFmtId="0" fontId="5" fillId="0" borderId="0" xfId="0" applyFont="1"/>
    <xf numFmtId="0" fontId="2" fillId="0" borderId="2" xfId="0" quotePrefix="1" applyFont="1" applyBorder="1" applyAlignment="1">
      <alignment vertical="center" wrapText="1" readingOrder="1"/>
    </xf>
    <xf numFmtId="3" fontId="5" fillId="0" borderId="2" xfId="0" applyNumberFormat="1" applyFont="1" applyBorder="1" applyAlignment="1">
      <alignment horizontal="center" vertical="center" wrapText="1"/>
    </xf>
    <xf numFmtId="3" fontId="2" fillId="0" borderId="2" xfId="0" applyNumberFormat="1" applyFont="1" applyBorder="1" applyAlignment="1">
      <alignment vertical="center" wrapText="1"/>
    </xf>
    <xf numFmtId="165" fontId="32" fillId="0" borderId="4" xfId="0" applyNumberFormat="1" applyFont="1" applyBorder="1" applyAlignment="1">
      <alignment horizontal="center" vertical="center" wrapText="1"/>
    </xf>
    <xf numFmtId="0" fontId="2" fillId="0" borderId="2" xfId="0" quotePrefix="1" applyFont="1" applyBorder="1" applyAlignment="1">
      <alignment vertical="center" wrapText="1"/>
    </xf>
    <xf numFmtId="49" fontId="2" fillId="0" borderId="2" xfId="0" quotePrefix="1" applyNumberFormat="1" applyFont="1" applyBorder="1" applyAlignment="1">
      <alignment horizontal="left" vertical="center" wrapText="1"/>
    </xf>
    <xf numFmtId="49" fontId="5" fillId="0" borderId="2" xfId="0" quotePrefix="1" applyNumberFormat="1" applyFont="1" applyBorder="1" applyAlignment="1">
      <alignment vertical="center" wrapText="1"/>
    </xf>
    <xf numFmtId="49" fontId="3" fillId="0" borderId="2" xfId="0" quotePrefix="1" applyNumberFormat="1" applyFont="1" applyBorder="1" applyAlignment="1">
      <alignment vertical="center" wrapText="1"/>
    </xf>
    <xf numFmtId="0" fontId="3" fillId="0" borderId="0" xfId="0" applyFont="1"/>
    <xf numFmtId="49" fontId="6" fillId="0" borderId="2" xfId="0" quotePrefix="1" applyNumberFormat="1" applyFont="1" applyBorder="1" applyAlignment="1">
      <alignment vertical="center" wrapText="1"/>
    </xf>
    <xf numFmtId="0" fontId="6" fillId="0" borderId="0" xfId="0" applyFont="1"/>
    <xf numFmtId="49" fontId="6" fillId="0" borderId="0" xfId="0" applyNumberFormat="1" applyFont="1" applyAlignment="1">
      <alignment horizontal="left"/>
    </xf>
    <xf numFmtId="0" fontId="40" fillId="0" borderId="0" xfId="0" applyFont="1" applyAlignment="1">
      <alignment horizontal="center"/>
    </xf>
    <xf numFmtId="0" fontId="11" fillId="0" borderId="0" xfId="0" applyFont="1"/>
    <xf numFmtId="165" fontId="10" fillId="0" borderId="0" xfId="0" applyNumberFormat="1" applyFont="1"/>
    <xf numFmtId="165" fontId="20" fillId="0" borderId="2" xfId="1" applyNumberFormat="1"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8" xfId="0" applyFont="1" applyBorder="1" applyAlignment="1">
      <alignment horizontal="left" vertical="center" wrapText="1"/>
    </xf>
    <xf numFmtId="165" fontId="20" fillId="0" borderId="8" xfId="1" applyNumberFormat="1"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6" xfId="0" applyFont="1" applyBorder="1" applyAlignment="1">
      <alignment horizontal="left" vertical="center" wrapText="1"/>
    </xf>
    <xf numFmtId="165" fontId="17" fillId="0" borderId="6" xfId="1" applyNumberFormat="1"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6" xfId="0" applyFont="1" applyBorder="1" applyAlignment="1">
      <alignment horizontal="left" vertical="center" wrapText="1"/>
    </xf>
    <xf numFmtId="165" fontId="19" fillId="0" borderId="6" xfId="1" applyNumberFormat="1"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7" xfId="0" applyFont="1" applyBorder="1" applyAlignment="1">
      <alignment horizontal="left" vertical="center" wrapText="1"/>
    </xf>
    <xf numFmtId="165" fontId="20" fillId="0" borderId="7" xfId="1" applyNumberFormat="1" applyFont="1" applyFill="1" applyBorder="1" applyAlignment="1">
      <alignment horizontal="center" vertical="center" wrapText="1"/>
    </xf>
    <xf numFmtId="0" fontId="20" fillId="0" borderId="0" xfId="0" applyFont="1" applyAlignment="1">
      <alignment horizontal="center"/>
    </xf>
    <xf numFmtId="0" fontId="14" fillId="0" borderId="0" xfId="0" applyFont="1" applyAlignment="1">
      <alignment horizontal="center" vertical="center" wrapText="1"/>
    </xf>
    <xf numFmtId="0" fontId="12" fillId="0" borderId="0" xfId="0" applyFont="1" applyAlignment="1">
      <alignment horizontal="center"/>
    </xf>
    <xf numFmtId="0" fontId="17" fillId="0" borderId="0" xfId="0" applyFont="1" applyAlignment="1">
      <alignment horizontal="center" vertical="center" wrapText="1"/>
    </xf>
    <xf numFmtId="0" fontId="20" fillId="0" borderId="2" xfId="0" applyFont="1" applyBorder="1" applyAlignment="1">
      <alignment horizontal="center" vertical="center" wrapText="1"/>
    </xf>
    <xf numFmtId="0" fontId="11" fillId="0" borderId="0" xfId="0" applyFont="1" applyAlignment="1">
      <alignment horizontal="center"/>
    </xf>
    <xf numFmtId="2" fontId="14" fillId="0" borderId="0" xfId="0" applyNumberFormat="1" applyFont="1" applyAlignment="1">
      <alignment horizontal="center"/>
    </xf>
    <xf numFmtId="0" fontId="14" fillId="0" borderId="0" xfId="0" applyFont="1" applyAlignment="1">
      <alignment horizontal="center"/>
    </xf>
    <xf numFmtId="0" fontId="14" fillId="0" borderId="5" xfId="0" applyFont="1" applyBorder="1" applyAlignment="1">
      <alignment horizontal="right"/>
    </xf>
    <xf numFmtId="0" fontId="12" fillId="0" borderId="2" xfId="0" applyFont="1" applyBorder="1" applyAlignment="1">
      <alignment horizontal="center" vertical="center" wrapText="1"/>
    </xf>
    <xf numFmtId="0" fontId="26" fillId="3" borderId="2" xfId="0" applyFont="1" applyFill="1" applyBorder="1" applyAlignment="1">
      <alignment horizontal="center" vertical="center" wrapText="1"/>
    </xf>
    <xf numFmtId="0" fontId="26"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2" xfId="0" applyFont="1" applyFill="1" applyBorder="1" applyAlignment="1">
      <alignment horizontal="center" vertical="center" wrapText="1"/>
    </xf>
    <xf numFmtId="0" fontId="9" fillId="2" borderId="0" xfId="0" applyFont="1" applyFill="1" applyAlignment="1">
      <alignment horizontal="center"/>
    </xf>
    <xf numFmtId="0" fontId="12" fillId="0" borderId="0" xfId="0" applyFont="1" applyAlignment="1">
      <alignment horizontal="center" wrapText="1"/>
    </xf>
    <xf numFmtId="2" fontId="17" fillId="0" borderId="0" xfId="0" applyNumberFormat="1" applyFont="1" applyAlignment="1">
      <alignment horizontal="center" wrapText="1"/>
    </xf>
    <xf numFmtId="0" fontId="17" fillId="0" borderId="0" xfId="0" applyFont="1" applyAlignment="1">
      <alignment horizontal="center" wrapText="1"/>
    </xf>
    <xf numFmtId="0" fontId="14" fillId="0" borderId="0" xfId="0" applyFont="1" applyAlignment="1">
      <alignment horizontal="right"/>
    </xf>
    <xf numFmtId="0" fontId="8" fillId="2" borderId="2" xfId="0" applyFont="1" applyFill="1" applyBorder="1" applyAlignment="1">
      <alignment horizontal="center" vertical="center" wrapText="1"/>
    </xf>
    <xf numFmtId="0" fontId="16" fillId="2" borderId="0" xfId="0" applyFont="1" applyFill="1" applyAlignment="1">
      <alignment horizontal="center"/>
    </xf>
    <xf numFmtId="0" fontId="12" fillId="2" borderId="0" xfId="0" applyFont="1" applyFill="1" applyAlignment="1">
      <alignment horizontal="center" vertical="center" wrapText="1"/>
    </xf>
    <xf numFmtId="2"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20" fillId="0" borderId="0" xfId="0" applyFont="1" applyAlignment="1">
      <alignment horizontal="center" vertical="center" wrapText="1"/>
    </xf>
    <xf numFmtId="2" fontId="17" fillId="0" borderId="0" xfId="0" applyNumberFormat="1" applyFont="1" applyAlignment="1">
      <alignment horizontal="center" vertical="center" wrapText="1"/>
    </xf>
    <xf numFmtId="0" fontId="17" fillId="0" borderId="0" xfId="0" applyFont="1" applyAlignment="1">
      <alignment horizontal="center"/>
    </xf>
    <xf numFmtId="2" fontId="17" fillId="0" borderId="0" xfId="0" applyNumberFormat="1" applyFont="1" applyAlignment="1">
      <alignment horizontal="center"/>
    </xf>
    <xf numFmtId="0" fontId="17" fillId="0" borderId="5" xfId="0" applyFont="1" applyBorder="1" applyAlignment="1">
      <alignment horizontal="center"/>
    </xf>
    <xf numFmtId="0" fontId="15" fillId="0" borderId="9" xfId="0" applyFont="1" applyBorder="1" applyAlignment="1">
      <alignment horizontal="center"/>
    </xf>
    <xf numFmtId="0" fontId="15" fillId="0" borderId="10" xfId="0" applyFont="1" applyBorder="1" applyAlignment="1">
      <alignment horizontal="center"/>
    </xf>
    <xf numFmtId="0" fontId="12" fillId="0" borderId="0" xfId="0" applyFont="1" applyAlignment="1">
      <alignment horizontal="center" vertical="center" wrapText="1"/>
    </xf>
    <xf numFmtId="2" fontId="14" fillId="0" borderId="0" xfId="0" applyNumberFormat="1" applyFont="1" applyAlignment="1">
      <alignment horizontal="center" vertical="center"/>
    </xf>
    <xf numFmtId="0" fontId="14" fillId="0" borderId="0" xfId="0" applyFont="1" applyAlignment="1">
      <alignment horizontal="center" vertical="center"/>
    </xf>
    <xf numFmtId="49" fontId="34" fillId="0" borderId="0" xfId="0" applyNumberFormat="1" applyFont="1" applyAlignment="1">
      <alignment horizontal="left" vertical="center" wrapText="1"/>
    </xf>
    <xf numFmtId="49" fontId="2" fillId="0" borderId="0" xfId="0" quotePrefix="1" applyNumberFormat="1" applyFont="1" applyAlignment="1">
      <alignment vertical="center" wrapText="1"/>
    </xf>
    <xf numFmtId="165" fontId="32" fillId="0" borderId="1" xfId="0" applyNumberFormat="1" applyFont="1" applyBorder="1" applyAlignment="1">
      <alignment horizontal="center" vertical="center" wrapText="1"/>
    </xf>
    <xf numFmtId="165" fontId="32" fillId="0" borderId="3" xfId="0" applyNumberFormat="1" applyFont="1" applyBorder="1" applyAlignment="1">
      <alignment horizontal="center" vertical="center" wrapText="1"/>
    </xf>
    <xf numFmtId="165" fontId="32" fillId="0" borderId="4" xfId="0" applyNumberFormat="1" applyFont="1" applyBorder="1" applyAlignment="1">
      <alignment horizontal="center" vertical="center" wrapText="1"/>
    </xf>
    <xf numFmtId="165" fontId="32" fillId="0" borderId="1" xfId="2" applyNumberFormat="1" applyFont="1" applyFill="1" applyBorder="1" applyAlignment="1">
      <alignment horizontal="center" vertical="center" wrapText="1"/>
    </xf>
    <xf numFmtId="165" fontId="32" fillId="0" borderId="3" xfId="2" applyNumberFormat="1" applyFont="1" applyFill="1" applyBorder="1" applyAlignment="1">
      <alignment horizontal="center" vertical="center" wrapText="1"/>
    </xf>
    <xf numFmtId="49" fontId="2" fillId="0" borderId="0" xfId="0" applyNumberFormat="1" applyFont="1" applyAlignment="1">
      <alignment vertical="center" wrapText="1"/>
    </xf>
    <xf numFmtId="0" fontId="5" fillId="0" borderId="0" xfId="0" applyFont="1" applyAlignment="1">
      <alignment horizontal="center" vertical="center"/>
    </xf>
    <xf numFmtId="49" fontId="2" fillId="0" borderId="0" xfId="0" quotePrefix="1" applyNumberFormat="1" applyFont="1" applyAlignment="1">
      <alignment horizontal="left" vertical="center" wrapText="1"/>
    </xf>
    <xf numFmtId="165" fontId="14" fillId="0" borderId="5" xfId="3" applyNumberFormat="1" applyFont="1" applyFill="1" applyBorder="1" applyAlignment="1">
      <alignment horizontal="center"/>
    </xf>
    <xf numFmtId="165" fontId="14" fillId="0" borderId="0" xfId="3" applyNumberFormat="1" applyFont="1" applyFill="1" applyAlignment="1">
      <alignment horizontal="right"/>
    </xf>
    <xf numFmtId="165" fontId="12" fillId="0" borderId="0" xfId="3" applyNumberFormat="1" applyFont="1" applyFill="1" applyAlignment="1">
      <alignment horizontal="center"/>
    </xf>
    <xf numFmtId="165" fontId="11" fillId="0" borderId="0" xfId="3" applyNumberFormat="1" applyFont="1" applyFill="1" applyAlignment="1">
      <alignment horizontal="center"/>
    </xf>
    <xf numFmtId="0" fontId="8" fillId="0" borderId="8" xfId="3" applyNumberFormat="1" applyFont="1" applyFill="1" applyBorder="1" applyAlignment="1">
      <alignment horizontal="center" vertical="center" wrapText="1"/>
    </xf>
    <xf numFmtId="0" fontId="8" fillId="0" borderId="3" xfId="3" applyNumberFormat="1" applyFont="1" applyFill="1" applyBorder="1" applyAlignment="1">
      <alignment horizontal="center" vertical="center" wrapText="1"/>
    </xf>
    <xf numFmtId="0" fontId="8" fillId="0" borderId="7" xfId="3" applyNumberFormat="1" applyFont="1" applyFill="1" applyBorder="1" applyAlignment="1">
      <alignment horizontal="center" vertical="center" wrapText="1"/>
    </xf>
    <xf numFmtId="165" fontId="8" fillId="0" borderId="8" xfId="3" applyNumberFormat="1" applyFont="1" applyFill="1" applyBorder="1" applyAlignment="1">
      <alignment horizontal="center" vertical="center" wrapText="1"/>
    </xf>
    <xf numFmtId="165" fontId="8" fillId="0" borderId="3" xfId="3" applyNumberFormat="1" applyFont="1" applyFill="1" applyBorder="1" applyAlignment="1">
      <alignment horizontal="center" vertical="center" wrapText="1"/>
    </xf>
    <xf numFmtId="165" fontId="8" fillId="0" borderId="7" xfId="3" applyNumberFormat="1" applyFont="1" applyFill="1" applyBorder="1" applyAlignment="1">
      <alignment horizontal="center" vertical="center" wrapText="1"/>
    </xf>
    <xf numFmtId="165" fontId="8" fillId="0" borderId="1" xfId="3" applyNumberFormat="1" applyFont="1" applyFill="1" applyBorder="1" applyAlignment="1">
      <alignment horizontal="center" vertical="center" wrapText="1"/>
    </xf>
    <xf numFmtId="165" fontId="8" fillId="0" borderId="4" xfId="3" applyNumberFormat="1" applyFont="1" applyFill="1" applyBorder="1" applyAlignment="1">
      <alignment horizontal="center" vertical="center" wrapText="1"/>
    </xf>
    <xf numFmtId="165" fontId="8" fillId="0" borderId="9" xfId="3" applyNumberFormat="1" applyFont="1" applyFill="1" applyBorder="1" applyAlignment="1">
      <alignment horizontal="center" vertical="center" wrapText="1"/>
    </xf>
    <xf numFmtId="165" fontId="22" fillId="0" borderId="11" xfId="3" applyNumberFormat="1" applyFont="1" applyFill="1" applyBorder="1" applyAlignment="1">
      <alignment horizontal="center" vertical="center" wrapText="1"/>
    </xf>
    <xf numFmtId="165" fontId="22" fillId="0" borderId="10" xfId="3" applyNumberFormat="1" applyFont="1" applyFill="1" applyBorder="1" applyAlignment="1">
      <alignment horizontal="center" vertical="center" wrapText="1"/>
    </xf>
    <xf numFmtId="165" fontId="8" fillId="0" borderId="2" xfId="3" applyNumberFormat="1" applyFont="1" applyFill="1" applyBorder="1" applyAlignment="1">
      <alignment horizontal="center" vertical="center" wrapText="1"/>
    </xf>
  </cellXfs>
  <cellStyles count="9">
    <cellStyle name="Comma" xfId="1" builtinId="3"/>
    <cellStyle name="Comma 10" xfId="2" xr:uid="{00000000-0005-0000-0000-000001000000}"/>
    <cellStyle name="Comma 12" xfId="6" xr:uid="{C1617D4E-CE90-4C0B-B3B2-FFBFF16482A1}"/>
    <cellStyle name="Comma 13" xfId="3" xr:uid="{00000000-0005-0000-0000-000002000000}"/>
    <cellStyle name="Comma 2" xfId="8" xr:uid="{4BF3F9E8-1637-404C-AC27-289E248E082A}"/>
    <cellStyle name="Normal" xfId="0" builtinId="0"/>
    <cellStyle name="Normal 4" xfId="7" xr:uid="{A7C488CE-F812-4E05-A417-A8A2C245ECB0}"/>
    <cellStyle name="Normal_Sheet3" xfId="4" xr:uid="{00000000-0005-0000-0000-000004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N&#258;M%202024\D&#7920;%20TO&#193;N%202025%20V&#192;%203%20N&#258;M%202025-2027\GIAO%20D&#7920;%20TO&#193;N%202025\TR&#204;NH%20H&#7896;I%20&#272;&#7890;NG\PL%20T&#7900;%20TR&#204;N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N&#258;M%202024\D&#7920;%20TO&#193;N%202025%20V&#192;%203%20N&#258;M%202025-2027\GIAO%20D&#7920;%20TO&#193;N%202025\PHAN%20BO%20DU%20TOAN%20XA%20NAM%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N&#258;M%202024\D&#7920;%20TO&#193;N%202025%20V&#192;%203%20N&#258;M%202025-2027\GIAO%20D&#7920;%20TO&#193;N%202025\PHAN%20BO%20DU%20TOAN%20XA%20NA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ngatang"/>
      <sheetName val="DT THU BS 01"/>
      <sheetName val="DT CHI BS 02"/>
      <sheetName val="DT THU BS 03"/>
      <sheetName val="DT THU BS 04"/>
      <sheetName val="DT THU BS 05"/>
      <sheetName val="DT MUC TIEU XA"/>
      <sheetName val="DT MUC TIEU 07"/>
      <sheetName val="DT BO SUNG MUC TIEU 08"/>
      <sheetName val="PHƯƠNG AN 2024"/>
      <sheetName val="TUNG SU NGHIEP"/>
    </sheetNames>
    <sheetDataSet>
      <sheetData sheetId="0"/>
      <sheetData sheetId="1">
        <row r="3">
          <cell r="A3" t="str">
            <v>(Kèm theo Tờ trình số 79/TTr-UBND ngày      /12/2024 của UBND huyện Sơn Tây)</v>
          </cell>
        </row>
      </sheetData>
      <sheetData sheetId="2"/>
      <sheetData sheetId="3"/>
      <sheetData sheetId="4"/>
      <sheetData sheetId="5"/>
      <sheetData sheetId="6"/>
      <sheetData sheetId="7"/>
      <sheetData sheetId="8"/>
      <sheetData sheetId="9"/>
      <sheetData sheetId="10">
        <row r="10">
          <cell r="E10">
            <v>42328754000</v>
          </cell>
          <cell r="G10">
            <v>9904268000</v>
          </cell>
          <cell r="H10">
            <v>1320000000</v>
          </cell>
          <cell r="I10">
            <v>203457670000</v>
          </cell>
          <cell r="J10">
            <v>830901000</v>
          </cell>
          <cell r="L10">
            <v>904492000</v>
          </cell>
          <cell r="M10">
            <v>605756000</v>
          </cell>
          <cell r="N10">
            <v>1210690000</v>
          </cell>
          <cell r="O10">
            <v>12113000000</v>
          </cell>
          <cell r="P10">
            <v>534000000</v>
          </cell>
          <cell r="Q10">
            <v>534000000</v>
          </cell>
          <cell r="R10">
            <v>3237377000</v>
          </cell>
          <cell r="S10">
            <v>5683000000</v>
          </cell>
        </row>
        <row r="11">
          <cell r="E11">
            <v>61868300000</v>
          </cell>
          <cell r="G11">
            <v>1866832000</v>
          </cell>
          <cell r="H11">
            <v>269712000</v>
          </cell>
          <cell r="L11">
            <v>163345000</v>
          </cell>
          <cell r="M11">
            <v>615206000</v>
          </cell>
          <cell r="N11">
            <v>137889000</v>
          </cell>
          <cell r="O11">
            <v>167159000</v>
          </cell>
          <cell r="P11">
            <v>2250254000</v>
          </cell>
          <cell r="Q11">
            <v>1077013000</v>
          </cell>
          <cell r="R11">
            <v>342073000</v>
          </cell>
          <cell r="S11">
            <v>1368309000</v>
          </cell>
        </row>
        <row r="13">
          <cell r="D13">
            <v>19265000000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ngatang"/>
      <sheetName val="SON LAP"/>
      <sheetName val="SON TINH"/>
      <sheetName val="SON MAU"/>
      <sheetName val="SON TAN"/>
      <sheetName val="SON DUNG "/>
      <sheetName val="SON LONG"/>
      <sheetName val="SON MUA"/>
      <sheetName val="SON LIEN"/>
      <sheetName val="SON BUA"/>
    </sheetNames>
    <sheetDataSet>
      <sheetData sheetId="0"/>
      <sheetData sheetId="1">
        <row r="7">
          <cell r="F7">
            <v>7215314000</v>
          </cell>
          <cell r="J7">
            <v>1674917000</v>
          </cell>
        </row>
        <row r="9">
          <cell r="F9">
            <v>6487922000</v>
          </cell>
        </row>
        <row r="77">
          <cell r="F77">
            <v>114576000</v>
          </cell>
        </row>
        <row r="84">
          <cell r="F84">
            <v>40416000</v>
          </cell>
        </row>
      </sheetData>
      <sheetData sheetId="2">
        <row r="7">
          <cell r="F7">
            <v>7999471000</v>
          </cell>
          <cell r="I7">
            <v>1852789000</v>
          </cell>
        </row>
        <row r="9">
          <cell r="F9">
            <v>6975375000</v>
          </cell>
        </row>
        <row r="77">
          <cell r="F77">
            <v>196504000</v>
          </cell>
        </row>
        <row r="84">
          <cell r="F84">
            <v>57864000</v>
          </cell>
        </row>
      </sheetData>
      <sheetData sheetId="3">
        <row r="7">
          <cell r="F7">
            <v>7459224000</v>
          </cell>
          <cell r="I7">
            <v>1768667000</v>
          </cell>
        </row>
        <row r="9">
          <cell r="F9">
            <v>6774813000</v>
          </cell>
        </row>
        <row r="90">
          <cell r="F90">
            <v>36386000</v>
          </cell>
        </row>
        <row r="92">
          <cell r="F92">
            <v>145545000</v>
          </cell>
        </row>
      </sheetData>
      <sheetData sheetId="4">
        <row r="7">
          <cell r="F7">
            <v>8294516000</v>
          </cell>
          <cell r="I7">
            <v>1917881000</v>
          </cell>
        </row>
        <row r="9">
          <cell r="F9">
            <v>7207281000</v>
          </cell>
        </row>
        <row r="90">
          <cell r="F90">
            <v>40461000</v>
          </cell>
        </row>
        <row r="92">
          <cell r="F92">
            <v>161844000</v>
          </cell>
        </row>
      </sheetData>
      <sheetData sheetId="5">
        <row r="7">
          <cell r="F7">
            <v>8475305000</v>
          </cell>
          <cell r="I7">
            <v>1882249000</v>
          </cell>
        </row>
      </sheetData>
      <sheetData sheetId="6">
        <row r="7">
          <cell r="F7">
            <v>7718637000</v>
          </cell>
          <cell r="I7">
            <v>1793374000</v>
          </cell>
        </row>
      </sheetData>
      <sheetData sheetId="7">
        <row r="7">
          <cell r="F7">
            <v>7959496000</v>
          </cell>
          <cell r="I7">
            <v>1836451000</v>
          </cell>
        </row>
        <row r="9">
          <cell r="F9">
            <v>6983111000</v>
          </cell>
        </row>
        <row r="90">
          <cell r="F90">
            <v>38826000</v>
          </cell>
        </row>
        <row r="92">
          <cell r="F92">
            <v>155307000</v>
          </cell>
        </row>
      </sheetData>
      <sheetData sheetId="8">
        <row r="7">
          <cell r="F7">
            <v>7502677000</v>
          </cell>
          <cell r="I7">
            <v>1762937000</v>
          </cell>
          <cell r="J7">
            <v>595250000</v>
          </cell>
        </row>
        <row r="9">
          <cell r="F9">
            <v>6727817000</v>
          </cell>
        </row>
        <row r="91">
          <cell r="F91">
            <v>36598000</v>
          </cell>
        </row>
        <row r="93">
          <cell r="F93">
            <v>146393000</v>
          </cell>
        </row>
      </sheetData>
      <sheetData sheetId="9">
        <row r="7">
          <cell r="F7">
            <v>7501452000</v>
          </cell>
          <cell r="I7">
            <v>1759431000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ngatang"/>
      <sheetName val="SON LAP"/>
      <sheetName val="SON TINH"/>
      <sheetName val="SON MAU"/>
      <sheetName val="SON TAN"/>
      <sheetName val="SON DUNG "/>
      <sheetName val="SON LONG"/>
      <sheetName val="SON MUA"/>
      <sheetName val="SON LIEN"/>
      <sheetName val="SON BUA"/>
    </sheetNames>
    <sheetDataSet>
      <sheetData sheetId="0" refreshError="1"/>
      <sheetData sheetId="1">
        <row r="7">
          <cell r="F7">
            <v>7215314000</v>
          </cell>
        </row>
        <row r="30">
          <cell r="F30">
            <v>8463000</v>
          </cell>
        </row>
        <row r="36">
          <cell r="F36">
            <v>37758000</v>
          </cell>
        </row>
        <row r="42">
          <cell r="F42">
            <v>10025000</v>
          </cell>
        </row>
        <row r="48">
          <cell r="F48">
            <v>11281000</v>
          </cell>
        </row>
        <row r="60">
          <cell r="F60">
            <v>140549000</v>
          </cell>
        </row>
        <row r="68">
          <cell r="F68">
            <v>188342000</v>
          </cell>
        </row>
        <row r="91">
          <cell r="F91">
            <v>35196000</v>
          </cell>
        </row>
        <row r="93">
          <cell r="F93">
            <v>140786000</v>
          </cell>
        </row>
      </sheetData>
      <sheetData sheetId="2">
        <row r="7">
          <cell r="F7">
            <v>7999471000</v>
          </cell>
        </row>
        <row r="30">
          <cell r="F30">
            <v>14514000</v>
          </cell>
        </row>
        <row r="36">
          <cell r="F36">
            <v>64757000</v>
          </cell>
        </row>
        <row r="42">
          <cell r="F42">
            <v>17194000</v>
          </cell>
        </row>
        <row r="48">
          <cell r="F48">
            <v>19174000</v>
          </cell>
        </row>
        <row r="60">
          <cell r="F60">
            <v>147718000</v>
          </cell>
        </row>
        <row r="68">
          <cell r="F68">
            <v>311263000</v>
          </cell>
        </row>
        <row r="91">
          <cell r="F91">
            <v>39021000</v>
          </cell>
        </row>
        <row r="93">
          <cell r="F93">
            <v>156087000</v>
          </cell>
        </row>
      </sheetData>
      <sheetData sheetId="3">
        <row r="7">
          <cell r="F7">
            <v>7467859000</v>
          </cell>
        </row>
        <row r="30">
          <cell r="F30">
            <v>10608000</v>
          </cell>
        </row>
        <row r="36">
          <cell r="F36">
            <v>47328000</v>
          </cell>
        </row>
        <row r="42">
          <cell r="F42">
            <v>12566000</v>
          </cell>
        </row>
        <row r="48">
          <cell r="F48">
            <v>14428000</v>
          </cell>
        </row>
        <row r="60">
          <cell r="F60">
            <v>12566000</v>
          </cell>
        </row>
        <row r="68">
          <cell r="F68">
            <v>248312000</v>
          </cell>
        </row>
        <row r="77">
          <cell r="F77">
            <v>143616000</v>
          </cell>
        </row>
        <row r="84">
          <cell r="F84">
            <v>13056000</v>
          </cell>
        </row>
      </sheetData>
      <sheetData sheetId="4">
        <row r="7">
          <cell r="F7">
            <v>8308525000</v>
          </cell>
        </row>
        <row r="30">
          <cell r="F30">
            <v>20605000</v>
          </cell>
        </row>
        <row r="36">
          <cell r="F36">
            <v>91930000</v>
          </cell>
        </row>
        <row r="42">
          <cell r="F42">
            <v>24409000</v>
          </cell>
        </row>
        <row r="48">
          <cell r="F48">
            <v>23503000</v>
          </cell>
        </row>
        <row r="60">
          <cell r="F60">
            <v>154933000</v>
          </cell>
        </row>
        <row r="68">
          <cell r="F68">
            <v>265230000</v>
          </cell>
        </row>
        <row r="77">
          <cell r="F77">
            <v>278960000</v>
          </cell>
        </row>
        <row r="84">
          <cell r="F84">
            <v>25360000</v>
          </cell>
        </row>
      </sheetData>
      <sheetData sheetId="5">
        <row r="7">
          <cell r="F7">
            <v>8475305000</v>
          </cell>
        </row>
        <row r="9">
          <cell r="F9">
            <v>7148892000</v>
          </cell>
        </row>
        <row r="30">
          <cell r="F30">
            <v>27638000</v>
          </cell>
        </row>
        <row r="36">
          <cell r="F36">
            <v>123308000</v>
          </cell>
        </row>
        <row r="42">
          <cell r="F42">
            <v>32740000</v>
          </cell>
        </row>
        <row r="48">
          <cell r="F48">
            <v>31086000</v>
          </cell>
        </row>
        <row r="60">
          <cell r="F60">
            <v>163264000</v>
          </cell>
        </row>
        <row r="68">
          <cell r="F68">
            <v>333472000</v>
          </cell>
        </row>
        <row r="77">
          <cell r="F77">
            <v>374176000</v>
          </cell>
        </row>
        <row r="84">
          <cell r="F84">
            <v>34016000</v>
          </cell>
        </row>
        <row r="90">
          <cell r="F90">
            <v>41342000</v>
          </cell>
        </row>
        <row r="92">
          <cell r="F92">
            <v>165371000</v>
          </cell>
        </row>
      </sheetData>
      <sheetData sheetId="6">
        <row r="7">
          <cell r="F7">
            <v>7718637000</v>
          </cell>
        </row>
        <row r="9">
          <cell r="F9">
            <v>6842503000</v>
          </cell>
        </row>
        <row r="30">
          <cell r="F30">
            <v>12785000</v>
          </cell>
        </row>
        <row r="36">
          <cell r="F36">
            <v>57043000</v>
          </cell>
        </row>
        <row r="42">
          <cell r="F42">
            <v>15145000</v>
          </cell>
        </row>
        <row r="48">
          <cell r="F48">
            <v>16405000</v>
          </cell>
        </row>
        <row r="60">
          <cell r="F60">
            <v>145669000</v>
          </cell>
        </row>
        <row r="68">
          <cell r="F68">
            <v>251997000</v>
          </cell>
        </row>
        <row r="77">
          <cell r="F77">
            <v>173096000</v>
          </cell>
        </row>
        <row r="84">
          <cell r="F84">
            <v>15736000</v>
          </cell>
        </row>
        <row r="90">
          <cell r="F90">
            <v>37651000</v>
          </cell>
        </row>
        <row r="92">
          <cell r="F92">
            <v>150607000</v>
          </cell>
        </row>
      </sheetData>
      <sheetData sheetId="7">
        <row r="7">
          <cell r="F7">
            <v>7961129000</v>
          </cell>
        </row>
        <row r="30">
          <cell r="F30">
            <v>21710000</v>
          </cell>
        </row>
        <row r="36">
          <cell r="F36">
            <v>96860000</v>
          </cell>
        </row>
        <row r="42">
          <cell r="F42">
            <v>25718000</v>
          </cell>
        </row>
        <row r="48">
          <cell r="F48">
            <v>24506000</v>
          </cell>
        </row>
        <row r="60">
          <cell r="F60">
            <v>25718000</v>
          </cell>
        </row>
        <row r="68">
          <cell r="F68">
            <v>267100000</v>
          </cell>
        </row>
        <row r="77">
          <cell r="F77">
            <v>293920000</v>
          </cell>
        </row>
        <row r="84">
          <cell r="F84">
            <v>26720000</v>
          </cell>
        </row>
      </sheetData>
      <sheetData sheetId="8">
        <row r="7">
          <cell r="F7">
            <v>7485408000</v>
          </cell>
        </row>
        <row r="30">
          <cell r="F30">
            <v>10068000</v>
          </cell>
        </row>
        <row r="36">
          <cell r="F36">
            <v>44921000</v>
          </cell>
        </row>
        <row r="42">
          <cell r="F42">
            <v>11927000</v>
          </cell>
        </row>
        <row r="48">
          <cell r="F48">
            <v>12739000</v>
          </cell>
        </row>
        <row r="60">
          <cell r="F60">
            <v>142451000</v>
          </cell>
        </row>
        <row r="68">
          <cell r="F68">
            <v>191059000</v>
          </cell>
        </row>
        <row r="77">
          <cell r="F77">
            <v>136312000</v>
          </cell>
        </row>
        <row r="84">
          <cell r="F84">
            <v>42392000</v>
          </cell>
        </row>
      </sheetData>
      <sheetData sheetId="9">
        <row r="7">
          <cell r="F7">
            <v>7501452000</v>
          </cell>
        </row>
        <row r="9">
          <cell r="F9">
            <v>6720586000</v>
          </cell>
        </row>
        <row r="30">
          <cell r="F30">
            <v>11498000</v>
          </cell>
        </row>
        <row r="36">
          <cell r="F36">
            <v>51301000</v>
          </cell>
        </row>
        <row r="42">
          <cell r="F42">
            <v>13621000</v>
          </cell>
        </row>
        <row r="48">
          <cell r="F48">
            <v>14037000</v>
          </cell>
        </row>
        <row r="60">
          <cell r="F60">
            <v>144145000</v>
          </cell>
        </row>
        <row r="68">
          <cell r="F68">
            <v>193479000</v>
          </cell>
        </row>
        <row r="77">
          <cell r="F77">
            <v>155672000</v>
          </cell>
        </row>
        <row r="84">
          <cell r="F84">
            <v>14152000</v>
          </cell>
        </row>
        <row r="90">
          <cell r="F90">
            <v>36592000</v>
          </cell>
        </row>
        <row r="92">
          <cell r="F92">
            <v>146369000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37"/>
  <sheetViews>
    <sheetView zoomScale="90" zoomScaleNormal="90" workbookViewId="0">
      <selection activeCell="A15" sqref="A15:D15"/>
    </sheetView>
  </sheetViews>
  <sheetFormatPr defaultColWidth="9.140625" defaultRowHeight="15" x14ac:dyDescent="0.25"/>
  <cols>
    <col min="1" max="1" width="60.5703125" style="98" customWidth="1"/>
    <col min="2" max="2" width="8" style="98" customWidth="1"/>
    <col min="3" max="3" width="16.5703125" style="98" customWidth="1"/>
    <col min="4" max="4" width="11" style="227" customWidth="1"/>
    <col min="5" max="16384" width="9.140625" style="98"/>
  </cols>
  <sheetData>
    <row r="1" spans="1:4" s="186" customFormat="1" ht="20.25" customHeight="1" x14ac:dyDescent="0.25">
      <c r="A1" s="285" t="s">
        <v>549</v>
      </c>
      <c r="B1" s="285"/>
      <c r="C1" s="285"/>
      <c r="D1" s="285"/>
    </row>
    <row r="2" spans="1:4" s="186" customFormat="1" ht="19.5" customHeight="1" x14ac:dyDescent="0.25">
      <c r="A2" s="275" t="s">
        <v>609</v>
      </c>
      <c r="B2" s="276"/>
      <c r="C2" s="276"/>
      <c r="D2" s="276"/>
    </row>
    <row r="3" spans="1:4" s="186" customFormat="1" x14ac:dyDescent="0.25">
      <c r="A3" s="187"/>
      <c r="B3" s="187"/>
      <c r="C3" s="188"/>
      <c r="D3" s="189"/>
    </row>
    <row r="4" spans="1:4" s="194" customFormat="1" ht="17.25" customHeight="1" x14ac:dyDescent="0.25">
      <c r="A4" s="190" t="s">
        <v>0</v>
      </c>
      <c r="B4" s="191"/>
      <c r="C4" s="192"/>
      <c r="D4" s="193"/>
    </row>
    <row r="5" spans="1:4" s="194" customFormat="1" ht="17.25" customHeight="1" x14ac:dyDescent="0.25">
      <c r="A5" s="190" t="s">
        <v>1</v>
      </c>
      <c r="B5" s="191"/>
      <c r="C5" s="192"/>
      <c r="D5" s="193"/>
    </row>
    <row r="6" spans="1:4" s="194" customFormat="1" ht="34.5" customHeight="1" x14ac:dyDescent="0.25">
      <c r="A6" s="284" t="s">
        <v>557</v>
      </c>
      <c r="B6" s="284"/>
      <c r="C6" s="284"/>
      <c r="D6" s="284"/>
    </row>
    <row r="7" spans="1:4" s="194" customFormat="1" ht="17.25" customHeight="1" x14ac:dyDescent="0.25">
      <c r="A7" s="195" t="s">
        <v>2</v>
      </c>
      <c r="B7" s="196"/>
      <c r="C7" s="197"/>
      <c r="D7" s="198"/>
    </row>
    <row r="8" spans="1:4" s="194" customFormat="1" ht="21" customHeight="1" x14ac:dyDescent="0.25">
      <c r="A8" s="284" t="s">
        <v>558</v>
      </c>
      <c r="B8" s="284"/>
      <c r="C8" s="284"/>
      <c r="D8" s="284"/>
    </row>
    <row r="9" spans="1:4" s="194" customFormat="1" ht="17.25" customHeight="1" x14ac:dyDescent="0.25">
      <c r="A9" s="278" t="s">
        <v>559</v>
      </c>
      <c r="B9" s="278"/>
      <c r="C9" s="278"/>
      <c r="D9" s="278"/>
    </row>
    <row r="10" spans="1:4" s="194" customFormat="1" ht="32.1" customHeight="1" x14ac:dyDescent="0.25">
      <c r="A10" s="278" t="s">
        <v>352</v>
      </c>
      <c r="B10" s="278"/>
      <c r="C10" s="278"/>
      <c r="D10" s="278"/>
    </row>
    <row r="11" spans="1:4" s="194" customFormat="1" ht="17.25" customHeight="1" x14ac:dyDescent="0.25">
      <c r="A11" s="278" t="s">
        <v>563</v>
      </c>
      <c r="B11" s="278"/>
      <c r="C11" s="278"/>
      <c r="D11" s="278"/>
    </row>
    <row r="12" spans="1:4" s="194" customFormat="1" ht="17.25" customHeight="1" x14ac:dyDescent="0.25">
      <c r="A12" s="278" t="s">
        <v>564</v>
      </c>
      <c r="B12" s="278"/>
      <c r="C12" s="278"/>
      <c r="D12" s="278"/>
    </row>
    <row r="13" spans="1:4" s="194" customFormat="1" ht="17.25" customHeight="1" x14ac:dyDescent="0.25">
      <c r="A13" s="278" t="s">
        <v>562</v>
      </c>
      <c r="B13" s="278"/>
      <c r="C13" s="278"/>
      <c r="D13" s="278"/>
    </row>
    <row r="14" spans="1:4" s="194" customFormat="1" ht="17.25" customHeight="1" x14ac:dyDescent="0.25">
      <c r="A14" s="278" t="s">
        <v>561</v>
      </c>
      <c r="B14" s="278"/>
      <c r="C14" s="278"/>
      <c r="D14" s="278"/>
    </row>
    <row r="15" spans="1:4" s="194" customFormat="1" ht="17.25" customHeight="1" x14ac:dyDescent="0.25">
      <c r="A15" s="278" t="s">
        <v>560</v>
      </c>
      <c r="B15" s="278"/>
      <c r="C15" s="278"/>
      <c r="D15" s="278"/>
    </row>
    <row r="16" spans="1:4" s="194" customFormat="1" ht="17.25" customHeight="1" x14ac:dyDescent="0.25">
      <c r="A16" s="190" t="s">
        <v>361</v>
      </c>
      <c r="B16" s="191"/>
      <c r="C16" s="192"/>
      <c r="D16" s="193"/>
    </row>
    <row r="17" spans="1:4" s="194" customFormat="1" ht="33" customHeight="1" x14ac:dyDescent="0.25">
      <c r="A17" s="286" t="s">
        <v>353</v>
      </c>
      <c r="B17" s="286"/>
      <c r="C17" s="286"/>
      <c r="D17" s="286"/>
    </row>
    <row r="18" spans="1:4" s="194" customFormat="1" ht="20.100000000000001" customHeight="1" x14ac:dyDescent="0.25">
      <c r="A18" s="278" t="s">
        <v>3</v>
      </c>
      <c r="B18" s="278"/>
      <c r="C18" s="278"/>
      <c r="D18" s="278"/>
    </row>
    <row r="19" spans="1:4" s="194" customFormat="1" ht="20.100000000000001" customHeight="1" x14ac:dyDescent="0.25">
      <c r="A19" s="278" t="s">
        <v>608</v>
      </c>
      <c r="B19" s="278"/>
      <c r="C19" s="278"/>
      <c r="D19" s="278"/>
    </row>
    <row r="20" spans="1:4" s="194" customFormat="1" ht="17.25" customHeight="1" x14ac:dyDescent="0.25">
      <c r="A20" s="278" t="s">
        <v>4</v>
      </c>
      <c r="B20" s="278"/>
      <c r="C20" s="278"/>
      <c r="D20" s="278"/>
    </row>
    <row r="21" spans="1:4" s="194" customFormat="1" ht="17.25" customHeight="1" x14ac:dyDescent="0.25">
      <c r="A21" s="278" t="s">
        <v>565</v>
      </c>
      <c r="B21" s="278"/>
      <c r="C21" s="278"/>
      <c r="D21" s="278"/>
    </row>
    <row r="22" spans="1:4" s="194" customFormat="1" ht="17.25" customHeight="1" x14ac:dyDescent="0.25">
      <c r="A22" s="278" t="s">
        <v>488</v>
      </c>
      <c r="B22" s="278"/>
      <c r="C22" s="278"/>
      <c r="D22" s="278"/>
    </row>
    <row r="23" spans="1:4" s="194" customFormat="1" ht="18" customHeight="1" x14ac:dyDescent="0.25">
      <c r="A23" s="199" t="s">
        <v>5</v>
      </c>
      <c r="B23" s="191"/>
      <c r="C23" s="200"/>
      <c r="D23" s="201"/>
    </row>
    <row r="24" spans="1:4" s="6" customFormat="1" ht="27" customHeight="1" x14ac:dyDescent="0.2">
      <c r="A24" s="202" t="s">
        <v>7</v>
      </c>
      <c r="B24" s="203" t="s">
        <v>379</v>
      </c>
      <c r="C24" s="204" t="s">
        <v>378</v>
      </c>
      <c r="D24" s="205" t="s">
        <v>8</v>
      </c>
    </row>
    <row r="25" spans="1:4" s="194" customFormat="1" ht="18" customHeight="1" x14ac:dyDescent="0.25">
      <c r="A25" s="206" t="s">
        <v>380</v>
      </c>
      <c r="B25" s="1"/>
      <c r="C25" s="2">
        <f>C26+C735</f>
        <v>372055000000</v>
      </c>
      <c r="D25" s="128"/>
    </row>
    <row r="26" spans="1:4" s="194" customFormat="1" ht="18" customHeight="1" x14ac:dyDescent="0.25">
      <c r="A26" s="206" t="s">
        <v>9</v>
      </c>
      <c r="B26" s="1"/>
      <c r="C26" s="2">
        <f>C27+C30</f>
        <v>301928908000</v>
      </c>
      <c r="D26" s="128"/>
    </row>
    <row r="27" spans="1:4" s="194" customFormat="1" ht="18" customHeight="1" x14ac:dyDescent="0.25">
      <c r="A27" s="206" t="s">
        <v>10</v>
      </c>
      <c r="B27" s="1"/>
      <c r="C27" s="2">
        <f>SUM(C28:C29)</f>
        <v>19265000000</v>
      </c>
      <c r="D27" s="129"/>
    </row>
    <row r="28" spans="1:4" s="194" customFormat="1" ht="18.75" customHeight="1" x14ac:dyDescent="0.25">
      <c r="A28" s="3" t="s">
        <v>11</v>
      </c>
      <c r="B28" s="4"/>
      <c r="C28" s="5">
        <v>19065000000</v>
      </c>
      <c r="D28" s="129"/>
    </row>
    <row r="29" spans="1:4" s="194" customFormat="1" ht="18" customHeight="1" x14ac:dyDescent="0.25">
      <c r="A29" s="3" t="s">
        <v>12</v>
      </c>
      <c r="B29" s="4"/>
      <c r="C29" s="5">
        <v>200000000</v>
      </c>
      <c r="D29" s="129"/>
    </row>
    <row r="30" spans="1:4" s="194" customFormat="1" ht="16.5" customHeight="1" x14ac:dyDescent="0.25">
      <c r="A30" s="206" t="s">
        <v>410</v>
      </c>
      <c r="B30" s="127">
        <f>B31+B315+B335+B357+B702+B712+B716+B726+B729+B733</f>
        <v>733</v>
      </c>
      <c r="C30" s="2">
        <f>C31+C315+C335+C357+C702+C712+C716+C726+C729+C733+C731</f>
        <v>282663908000</v>
      </c>
      <c r="D30" s="128"/>
    </row>
    <row r="31" spans="1:4" s="194" customFormat="1" ht="17.649999999999999" customHeight="1" x14ac:dyDescent="0.25">
      <c r="A31" s="206" t="s">
        <v>412</v>
      </c>
      <c r="B31" s="127">
        <f>B32+B82+B130</f>
        <v>93</v>
      </c>
      <c r="C31" s="2">
        <f>C32+C82+C130</f>
        <v>50581654000</v>
      </c>
      <c r="D31" s="128"/>
    </row>
    <row r="32" spans="1:4" s="194" customFormat="1" ht="17.649999999999999" customHeight="1" x14ac:dyDescent="0.25">
      <c r="A32" s="206" t="s">
        <v>411</v>
      </c>
      <c r="B32" s="127">
        <f>B33+B44+B52+B59+B67+B74</f>
        <v>15</v>
      </c>
      <c r="C32" s="2">
        <f>C33+C44+C52+C59+C67+C74</f>
        <v>5588533000</v>
      </c>
      <c r="D32" s="128"/>
    </row>
    <row r="33" spans="1:4" s="194" customFormat="1" ht="17.649999999999999" customHeight="1" x14ac:dyDescent="0.25">
      <c r="A33" s="206" t="s">
        <v>360</v>
      </c>
      <c r="B33" s="127">
        <f>B34+B37+B39</f>
        <v>3</v>
      </c>
      <c r="C33" s="2">
        <f>C34+C37+C39</f>
        <v>1269110000</v>
      </c>
      <c r="D33" s="128"/>
    </row>
    <row r="34" spans="1:4" s="210" customFormat="1" ht="17.649999999999999" customHeight="1" x14ac:dyDescent="0.25">
      <c r="A34" s="206" t="s">
        <v>13</v>
      </c>
      <c r="B34" s="207">
        <f>B38</f>
        <v>3</v>
      </c>
      <c r="C34" s="208">
        <f>SUM(C35:C36)</f>
        <v>965010000</v>
      </c>
      <c r="D34" s="209"/>
    </row>
    <row r="35" spans="1:4" s="196" customFormat="1" ht="21.6" customHeight="1" x14ac:dyDescent="0.25">
      <c r="A35" s="211" t="s">
        <v>389</v>
      </c>
      <c r="B35" s="212"/>
      <c r="C35" s="5">
        <v>933330000</v>
      </c>
      <c r="D35" s="213"/>
    </row>
    <row r="36" spans="1:4" s="196" customFormat="1" ht="18" customHeight="1" x14ac:dyDescent="0.25">
      <c r="A36" s="3" t="s">
        <v>15</v>
      </c>
      <c r="B36" s="212"/>
      <c r="C36" s="5">
        <v>31680000</v>
      </c>
      <c r="D36" s="213"/>
    </row>
    <row r="37" spans="1:4" s="214" customFormat="1" ht="18" customHeight="1" x14ac:dyDescent="0.2">
      <c r="A37" s="206" t="s">
        <v>16</v>
      </c>
      <c r="B37" s="207"/>
      <c r="C37" s="208">
        <f>SUM(C38:C38)</f>
        <v>89100000</v>
      </c>
      <c r="D37" s="209"/>
    </row>
    <row r="38" spans="1:4" s="194" customFormat="1" ht="18" customHeight="1" x14ac:dyDescent="0.25">
      <c r="A38" s="3" t="s">
        <v>17</v>
      </c>
      <c r="B38" s="212">
        <v>3</v>
      </c>
      <c r="C38" s="5">
        <f>B38*29700000</f>
        <v>89100000</v>
      </c>
      <c r="D38" s="213"/>
    </row>
    <row r="39" spans="1:4" s="214" customFormat="1" ht="17.100000000000001" customHeight="1" x14ac:dyDescent="0.2">
      <c r="A39" s="206" t="s">
        <v>18</v>
      </c>
      <c r="B39" s="207"/>
      <c r="C39" s="208">
        <f>SUM(C40:C43)</f>
        <v>215000000</v>
      </c>
      <c r="D39" s="209"/>
    </row>
    <row r="40" spans="1:4" s="194" customFormat="1" ht="31.15" customHeight="1" x14ac:dyDescent="0.25">
      <c r="A40" s="3" t="s">
        <v>19</v>
      </c>
      <c r="B40" s="212"/>
      <c r="C40" s="5">
        <v>20000000</v>
      </c>
      <c r="D40" s="213"/>
    </row>
    <row r="41" spans="1:4" s="194" customFormat="1" ht="18" customHeight="1" x14ac:dyDescent="0.25">
      <c r="A41" s="3" t="s">
        <v>20</v>
      </c>
      <c r="B41" s="212"/>
      <c r="C41" s="5">
        <v>50000000</v>
      </c>
      <c r="D41" s="213"/>
    </row>
    <row r="42" spans="1:4" s="194" customFormat="1" ht="18" customHeight="1" x14ac:dyDescent="0.25">
      <c r="A42" s="3" t="s">
        <v>555</v>
      </c>
      <c r="B42" s="212"/>
      <c r="C42" s="5">
        <v>25000000</v>
      </c>
      <c r="D42" s="213"/>
    </row>
    <row r="43" spans="1:4" s="194" customFormat="1" ht="60" x14ac:dyDescent="0.25">
      <c r="A43" s="3" t="s">
        <v>21</v>
      </c>
      <c r="B43" s="212"/>
      <c r="C43" s="5">
        <v>120000000</v>
      </c>
      <c r="D43" s="213"/>
    </row>
    <row r="44" spans="1:4" s="194" customFormat="1" ht="18" customHeight="1" x14ac:dyDescent="0.25">
      <c r="A44" s="206" t="s">
        <v>22</v>
      </c>
      <c r="B44" s="1">
        <v>3</v>
      </c>
      <c r="C44" s="2">
        <f>C45+C48+C50</f>
        <v>827749000</v>
      </c>
      <c r="D44" s="128"/>
    </row>
    <row r="45" spans="1:4" s="214" customFormat="1" ht="18" customHeight="1" x14ac:dyDescent="0.2">
      <c r="A45" s="206" t="s">
        <v>13</v>
      </c>
      <c r="B45" s="1"/>
      <c r="C45" s="2">
        <f>SUM(C46:C47)</f>
        <v>618649000</v>
      </c>
      <c r="D45" s="128"/>
    </row>
    <row r="46" spans="1:4" s="196" customFormat="1" ht="19.149999999999999" customHeight="1" x14ac:dyDescent="0.25">
      <c r="A46" s="211" t="s">
        <v>389</v>
      </c>
      <c r="B46" s="212"/>
      <c r="C46" s="5">
        <f>630649000-27000000</f>
        <v>603649000</v>
      </c>
      <c r="D46" s="213"/>
    </row>
    <row r="47" spans="1:4" s="196" customFormat="1" ht="19.149999999999999" customHeight="1" x14ac:dyDescent="0.25">
      <c r="A47" s="3" t="s">
        <v>23</v>
      </c>
      <c r="B47" s="212"/>
      <c r="C47" s="5">
        <v>15000000</v>
      </c>
      <c r="D47" s="213"/>
    </row>
    <row r="48" spans="1:4" s="210" customFormat="1" ht="17.100000000000001" customHeight="1" x14ac:dyDescent="0.25">
      <c r="A48" s="206" t="s">
        <v>16</v>
      </c>
      <c r="B48" s="207"/>
      <c r="C48" s="208">
        <f>SUM(C49:C49)</f>
        <v>89100000</v>
      </c>
      <c r="D48" s="209"/>
    </row>
    <row r="49" spans="1:4" s="210" customFormat="1" ht="17.100000000000001" customHeight="1" x14ac:dyDescent="0.25">
      <c r="A49" s="3" t="s">
        <v>17</v>
      </c>
      <c r="B49" s="212">
        <v>3</v>
      </c>
      <c r="C49" s="5">
        <f>B49*29700000</f>
        <v>89100000</v>
      </c>
      <c r="D49" s="213"/>
    </row>
    <row r="50" spans="1:4" s="210" customFormat="1" ht="17.649999999999999" customHeight="1" x14ac:dyDescent="0.25">
      <c r="A50" s="206" t="s">
        <v>18</v>
      </c>
      <c r="B50" s="207"/>
      <c r="C50" s="208">
        <f>SUM(C51:C51)</f>
        <v>120000000</v>
      </c>
      <c r="D50" s="209"/>
    </row>
    <row r="51" spans="1:4" s="194" customFormat="1" ht="50.65" customHeight="1" x14ac:dyDescent="0.25">
      <c r="A51" s="215" t="s">
        <v>381</v>
      </c>
      <c r="B51" s="212"/>
      <c r="C51" s="5">
        <v>120000000</v>
      </c>
      <c r="D51" s="213"/>
    </row>
    <row r="52" spans="1:4" s="194" customFormat="1" ht="19.149999999999999" customHeight="1" x14ac:dyDescent="0.25">
      <c r="A52" s="206" t="s">
        <v>362</v>
      </c>
      <c r="B52" s="1">
        <f>B56</f>
        <v>3</v>
      </c>
      <c r="C52" s="2">
        <f>C53+C55+C57</f>
        <v>898082000</v>
      </c>
      <c r="D52" s="128"/>
    </row>
    <row r="53" spans="1:4" s="194" customFormat="1" ht="15.6" customHeight="1" x14ac:dyDescent="0.25">
      <c r="A53" s="206" t="s">
        <v>13</v>
      </c>
      <c r="B53" s="1"/>
      <c r="C53" s="2">
        <f>SUM(C54:C54)</f>
        <v>688982000</v>
      </c>
      <c r="D53" s="128"/>
    </row>
    <row r="54" spans="1:4" s="196" customFormat="1" ht="19.149999999999999" customHeight="1" x14ac:dyDescent="0.25">
      <c r="A54" s="211" t="s">
        <v>389</v>
      </c>
      <c r="B54" s="212"/>
      <c r="C54" s="5">
        <v>688982000</v>
      </c>
      <c r="D54" s="213"/>
    </row>
    <row r="55" spans="1:4" s="210" customFormat="1" ht="17.649999999999999" customHeight="1" x14ac:dyDescent="0.25">
      <c r="A55" s="206" t="s">
        <v>16</v>
      </c>
      <c r="B55" s="207"/>
      <c r="C55" s="208">
        <f>C56</f>
        <v>89100000</v>
      </c>
      <c r="D55" s="209"/>
    </row>
    <row r="56" spans="1:4" s="196" customFormat="1" ht="17.649999999999999" customHeight="1" x14ac:dyDescent="0.25">
      <c r="A56" s="3" t="s">
        <v>17</v>
      </c>
      <c r="B56" s="212">
        <v>3</v>
      </c>
      <c r="C56" s="5">
        <f>B56*29700000</f>
        <v>89100000</v>
      </c>
      <c r="D56" s="213"/>
    </row>
    <row r="57" spans="1:4" s="196" customFormat="1" ht="19.5" customHeight="1" x14ac:dyDescent="0.25">
      <c r="A57" s="206" t="s">
        <v>18</v>
      </c>
      <c r="B57" s="207"/>
      <c r="C57" s="208">
        <f>SUM(C58:C58)</f>
        <v>120000000</v>
      </c>
      <c r="D57" s="213"/>
    </row>
    <row r="58" spans="1:4" s="194" customFormat="1" ht="49.5" customHeight="1" x14ac:dyDescent="0.25">
      <c r="A58" s="3" t="s">
        <v>24</v>
      </c>
      <c r="B58" s="212"/>
      <c r="C58" s="5">
        <v>120000000</v>
      </c>
      <c r="D58" s="213"/>
    </row>
    <row r="59" spans="1:4" s="194" customFormat="1" ht="16.149999999999999" customHeight="1" x14ac:dyDescent="0.25">
      <c r="A59" s="206" t="s">
        <v>363</v>
      </c>
      <c r="B59" s="1">
        <f>B63</f>
        <v>3</v>
      </c>
      <c r="C59" s="2">
        <f>C60+C62+C64</f>
        <v>1137909000</v>
      </c>
      <c r="D59" s="128"/>
    </row>
    <row r="60" spans="1:4" s="194" customFormat="1" ht="16.149999999999999" customHeight="1" x14ac:dyDescent="0.25">
      <c r="A60" s="206" t="s">
        <v>13</v>
      </c>
      <c r="B60" s="1"/>
      <c r="C60" s="2">
        <f>SUM(C61:C61)</f>
        <v>788809000</v>
      </c>
      <c r="D60" s="128"/>
    </row>
    <row r="61" spans="1:4" s="196" customFormat="1" ht="16.149999999999999" customHeight="1" x14ac:dyDescent="0.25">
      <c r="A61" s="3" t="s">
        <v>389</v>
      </c>
      <c r="B61" s="212"/>
      <c r="C61" s="5">
        <v>788809000</v>
      </c>
      <c r="D61" s="213"/>
    </row>
    <row r="62" spans="1:4" s="196" customFormat="1" ht="16.149999999999999" customHeight="1" x14ac:dyDescent="0.25">
      <c r="A62" s="206" t="s">
        <v>16</v>
      </c>
      <c r="B62" s="207"/>
      <c r="C62" s="208">
        <f>SUM(C63:C63)</f>
        <v>89100000</v>
      </c>
      <c r="D62" s="213"/>
    </row>
    <row r="63" spans="1:4" s="196" customFormat="1" ht="16.149999999999999" customHeight="1" x14ac:dyDescent="0.25">
      <c r="A63" s="3" t="s">
        <v>17</v>
      </c>
      <c r="B63" s="212">
        <v>3</v>
      </c>
      <c r="C63" s="5">
        <f>B63*29700000</f>
        <v>89100000</v>
      </c>
      <c r="D63" s="213"/>
    </row>
    <row r="64" spans="1:4" s="196" customFormat="1" ht="17.100000000000001" customHeight="1" x14ac:dyDescent="0.25">
      <c r="A64" s="206" t="s">
        <v>18</v>
      </c>
      <c r="B64" s="207"/>
      <c r="C64" s="208">
        <f>SUM(C65:C66)</f>
        <v>260000000</v>
      </c>
      <c r="D64" s="213"/>
    </row>
    <row r="65" spans="1:4" s="196" customFormat="1" ht="17.649999999999999" customHeight="1" x14ac:dyDescent="0.25">
      <c r="A65" s="3" t="s">
        <v>25</v>
      </c>
      <c r="B65" s="212"/>
      <c r="C65" s="5">
        <v>130000000</v>
      </c>
      <c r="D65" s="213"/>
    </row>
    <row r="66" spans="1:4" s="196" customFormat="1" ht="43.15" customHeight="1" x14ac:dyDescent="0.25">
      <c r="A66" s="3" t="s">
        <v>435</v>
      </c>
      <c r="B66" s="212"/>
      <c r="C66" s="5">
        <v>130000000</v>
      </c>
      <c r="D66" s="213"/>
    </row>
    <row r="67" spans="1:4" s="194" customFormat="1" ht="16.5" customHeight="1" x14ac:dyDescent="0.25">
      <c r="A67" s="206" t="s">
        <v>26</v>
      </c>
      <c r="B67" s="1">
        <v>3</v>
      </c>
      <c r="C67" s="2">
        <f>C68+C70+C72</f>
        <v>725028000</v>
      </c>
      <c r="D67" s="128"/>
    </row>
    <row r="68" spans="1:4" s="194" customFormat="1" ht="16.5" customHeight="1" x14ac:dyDescent="0.25">
      <c r="A68" s="206" t="s">
        <v>13</v>
      </c>
      <c r="B68" s="1"/>
      <c r="C68" s="2">
        <f>SUM(C69:C69)</f>
        <v>575928000</v>
      </c>
      <c r="D68" s="128"/>
    </row>
    <row r="69" spans="1:4" s="196" customFormat="1" ht="19.149999999999999" customHeight="1" x14ac:dyDescent="0.25">
      <c r="A69" s="3" t="s">
        <v>389</v>
      </c>
      <c r="B69" s="212"/>
      <c r="C69" s="5">
        <v>575928000</v>
      </c>
      <c r="D69" s="213"/>
    </row>
    <row r="70" spans="1:4" s="196" customFormat="1" ht="18.75" customHeight="1" x14ac:dyDescent="0.25">
      <c r="A70" s="206" t="s">
        <v>16</v>
      </c>
      <c r="B70" s="207"/>
      <c r="C70" s="208">
        <f>C71</f>
        <v>89100000</v>
      </c>
      <c r="D70" s="213"/>
    </row>
    <row r="71" spans="1:4" s="196" customFormat="1" ht="18.75" customHeight="1" x14ac:dyDescent="0.25">
      <c r="A71" s="3" t="s">
        <v>17</v>
      </c>
      <c r="B71" s="212">
        <v>3</v>
      </c>
      <c r="C71" s="5">
        <f>B71*29700000</f>
        <v>89100000</v>
      </c>
      <c r="D71" s="213"/>
    </row>
    <row r="72" spans="1:4" s="196" customFormat="1" ht="18.75" customHeight="1" x14ac:dyDescent="0.25">
      <c r="A72" s="206" t="s">
        <v>18</v>
      </c>
      <c r="B72" s="207"/>
      <c r="C72" s="208">
        <f>SUM(C73:C73)</f>
        <v>60000000</v>
      </c>
      <c r="D72" s="213"/>
    </row>
    <row r="73" spans="1:4" s="196" customFormat="1" ht="45" x14ac:dyDescent="0.25">
      <c r="A73" s="3" t="s">
        <v>575</v>
      </c>
      <c r="B73" s="212"/>
      <c r="C73" s="5">
        <v>60000000</v>
      </c>
      <c r="D73" s="213"/>
    </row>
    <row r="74" spans="1:4" s="194" customFormat="1" ht="17.649999999999999" customHeight="1" x14ac:dyDescent="0.25">
      <c r="A74" s="206" t="s">
        <v>27</v>
      </c>
      <c r="B74" s="127">
        <f>SUM(B75:B79)</f>
        <v>0</v>
      </c>
      <c r="C74" s="2">
        <f>SUM(C75:C81)</f>
        <v>730655000</v>
      </c>
      <c r="D74" s="128"/>
    </row>
    <row r="75" spans="1:4" s="194" customFormat="1" ht="17.649999999999999" customHeight="1" x14ac:dyDescent="0.25">
      <c r="A75" s="3" t="s">
        <v>28</v>
      </c>
      <c r="B75" s="212"/>
      <c r="C75" s="5">
        <v>75816000</v>
      </c>
      <c r="D75" s="128"/>
    </row>
    <row r="76" spans="1:4" s="194" customFormat="1" ht="17.649999999999999" customHeight="1" x14ac:dyDescent="0.25">
      <c r="A76" s="3" t="s">
        <v>29</v>
      </c>
      <c r="B76" s="212"/>
      <c r="C76" s="5">
        <v>67392000</v>
      </c>
      <c r="D76" s="128"/>
    </row>
    <row r="77" spans="1:4" s="194" customFormat="1" ht="17.649999999999999" customHeight="1" x14ac:dyDescent="0.25">
      <c r="A77" s="3" t="s">
        <v>30</v>
      </c>
      <c r="B77" s="212"/>
      <c r="C77" s="5">
        <v>143208000</v>
      </c>
      <c r="D77" s="128"/>
    </row>
    <row r="78" spans="1:4" s="194" customFormat="1" ht="17.649999999999999" customHeight="1" x14ac:dyDescent="0.25">
      <c r="A78" s="3" t="s">
        <v>31</v>
      </c>
      <c r="B78" s="212"/>
      <c r="C78" s="5">
        <f>12000000*3</f>
        <v>36000000</v>
      </c>
      <c r="D78" s="128"/>
    </row>
    <row r="79" spans="1:4" s="194" customFormat="1" ht="17.649999999999999" customHeight="1" x14ac:dyDescent="0.25">
      <c r="A79" s="3" t="s">
        <v>32</v>
      </c>
      <c r="B79" s="212"/>
      <c r="C79" s="5"/>
      <c r="D79" s="213"/>
    </row>
    <row r="80" spans="1:4" s="194" customFormat="1" ht="18" customHeight="1" x14ac:dyDescent="0.25">
      <c r="A80" s="3" t="s">
        <v>434</v>
      </c>
      <c r="B80" s="212"/>
      <c r="C80" s="5">
        <v>348839000</v>
      </c>
      <c r="D80" s="213"/>
    </row>
    <row r="81" spans="1:4" s="194" customFormat="1" ht="21.6" customHeight="1" x14ac:dyDescent="0.25">
      <c r="A81" s="3" t="s">
        <v>577</v>
      </c>
      <c r="B81" s="212"/>
      <c r="C81" s="5">
        <f>29700000*2</f>
        <v>59400000</v>
      </c>
      <c r="D81" s="213"/>
    </row>
    <row r="82" spans="1:4" s="194" customFormat="1" ht="19.149999999999999" customHeight="1" x14ac:dyDescent="0.25">
      <c r="A82" s="206" t="s">
        <v>382</v>
      </c>
      <c r="B82" s="127">
        <f>B83+B97+B104</f>
        <v>23</v>
      </c>
      <c r="C82" s="2">
        <f>C83+C97+C104</f>
        <v>11513240000</v>
      </c>
      <c r="D82" s="128"/>
    </row>
    <row r="83" spans="1:4" s="194" customFormat="1" ht="17.649999999999999" customHeight="1" x14ac:dyDescent="0.25">
      <c r="A83" s="206" t="s">
        <v>13</v>
      </c>
      <c r="B83" s="1"/>
      <c r="C83" s="2">
        <f>SUM(C84:C96)</f>
        <v>7860130000</v>
      </c>
      <c r="D83" s="128"/>
    </row>
    <row r="84" spans="1:4" s="196" customFormat="1" ht="33.6" customHeight="1" x14ac:dyDescent="0.25">
      <c r="A84" s="3" t="s">
        <v>383</v>
      </c>
      <c r="B84" s="4"/>
      <c r="C84" s="5">
        <v>2473901000</v>
      </c>
      <c r="D84" s="130"/>
    </row>
    <row r="85" spans="1:4" s="196" customFormat="1" ht="28.5" customHeight="1" x14ac:dyDescent="0.25">
      <c r="A85" s="3" t="s">
        <v>384</v>
      </c>
      <c r="B85" s="4"/>
      <c r="C85" s="5">
        <v>787784000</v>
      </c>
      <c r="D85" s="130"/>
    </row>
    <row r="86" spans="1:4" s="196" customFormat="1" ht="30" customHeight="1" x14ac:dyDescent="0.25">
      <c r="A86" s="3" t="s">
        <v>385</v>
      </c>
      <c r="B86" s="4"/>
      <c r="C86" s="5">
        <v>1128935000</v>
      </c>
      <c r="D86" s="130"/>
    </row>
    <row r="87" spans="1:4" s="196" customFormat="1" ht="32.1" customHeight="1" x14ac:dyDescent="0.25">
      <c r="A87" s="3" t="s">
        <v>386</v>
      </c>
      <c r="B87" s="4"/>
      <c r="C87" s="5">
        <v>671711000</v>
      </c>
      <c r="D87" s="130"/>
    </row>
    <row r="88" spans="1:4" s="196" customFormat="1" ht="30.6" customHeight="1" x14ac:dyDescent="0.25">
      <c r="A88" s="3" t="s">
        <v>387</v>
      </c>
      <c r="B88" s="4"/>
      <c r="C88" s="5">
        <v>1019508000</v>
      </c>
      <c r="D88" s="130"/>
    </row>
    <row r="89" spans="1:4" s="196" customFormat="1" ht="30.6" customHeight="1" x14ac:dyDescent="0.25">
      <c r="A89" s="3" t="s">
        <v>388</v>
      </c>
      <c r="B89" s="4"/>
      <c r="C89" s="5">
        <v>1161803000</v>
      </c>
      <c r="D89" s="130"/>
    </row>
    <row r="90" spans="1:4" s="196" customFormat="1" ht="18.600000000000001" customHeight="1" x14ac:dyDescent="0.25">
      <c r="A90" s="3" t="s">
        <v>364</v>
      </c>
      <c r="B90" s="4"/>
      <c r="C90" s="5">
        <f>0.3*2340000*12*2</f>
        <v>16848000</v>
      </c>
      <c r="D90" s="130"/>
    </row>
    <row r="91" spans="1:4" s="196" customFormat="1" ht="19.5" customHeight="1" x14ac:dyDescent="0.25">
      <c r="A91" s="3" t="s">
        <v>365</v>
      </c>
      <c r="B91" s="4"/>
      <c r="C91" s="5">
        <f>0.3*2340000*12</f>
        <v>8424000</v>
      </c>
      <c r="D91" s="130"/>
    </row>
    <row r="92" spans="1:4" s="196" customFormat="1" ht="31.5" customHeight="1" x14ac:dyDescent="0.25">
      <c r="A92" s="3" t="s">
        <v>366</v>
      </c>
      <c r="B92" s="4"/>
      <c r="C92" s="5">
        <v>12000000</v>
      </c>
      <c r="D92" s="130"/>
    </row>
    <row r="93" spans="1:4" s="196" customFormat="1" ht="31.15" customHeight="1" x14ac:dyDescent="0.25">
      <c r="A93" s="3" t="s">
        <v>33</v>
      </c>
      <c r="B93" s="4"/>
      <c r="C93" s="5">
        <v>12000000</v>
      </c>
      <c r="D93" s="130"/>
    </row>
    <row r="94" spans="1:4" s="194" customFormat="1" ht="16.5" customHeight="1" x14ac:dyDescent="0.25">
      <c r="A94" s="3" t="s">
        <v>47</v>
      </c>
      <c r="B94" s="212"/>
      <c r="C94" s="5">
        <v>84240000</v>
      </c>
      <c r="D94" s="213"/>
    </row>
    <row r="95" spans="1:4" s="196" customFormat="1" ht="16.149999999999999" customHeight="1" x14ac:dyDescent="0.25">
      <c r="A95" s="3" t="s">
        <v>40</v>
      </c>
      <c r="B95" s="4"/>
      <c r="C95" s="5">
        <v>112320000</v>
      </c>
      <c r="D95" s="130"/>
    </row>
    <row r="96" spans="1:4" s="194" customFormat="1" ht="16.5" customHeight="1" x14ac:dyDescent="0.25">
      <c r="A96" s="3" t="s">
        <v>46</v>
      </c>
      <c r="B96" s="212"/>
      <c r="C96" s="5">
        <f>33*2340000*12*0.4</f>
        <v>370656000</v>
      </c>
      <c r="D96" s="213"/>
    </row>
    <row r="97" spans="1:4" s="196" customFormat="1" ht="18" customHeight="1" x14ac:dyDescent="0.25">
      <c r="A97" s="206" t="s">
        <v>16</v>
      </c>
      <c r="B97" s="1">
        <f>SUM(B98:B103)</f>
        <v>23</v>
      </c>
      <c r="C97" s="2">
        <f>SUM(C98:C103)</f>
        <v>683100000</v>
      </c>
      <c r="D97" s="130"/>
    </row>
    <row r="98" spans="1:4" s="196" customFormat="1" ht="18" customHeight="1" x14ac:dyDescent="0.25">
      <c r="A98" s="3" t="s">
        <v>34</v>
      </c>
      <c r="B98" s="212">
        <v>2</v>
      </c>
      <c r="C98" s="5">
        <f>B98*29700000</f>
        <v>59400000</v>
      </c>
      <c r="D98" s="213"/>
    </row>
    <row r="99" spans="1:4" s="196" customFormat="1" ht="18" customHeight="1" x14ac:dyDescent="0.25">
      <c r="A99" s="3" t="s">
        <v>367</v>
      </c>
      <c r="B99" s="212">
        <v>6</v>
      </c>
      <c r="C99" s="5">
        <f t="shared" ref="C99:C103" si="0">B99*29700000</f>
        <v>178200000</v>
      </c>
      <c r="D99" s="213"/>
    </row>
    <row r="100" spans="1:4" s="196" customFormat="1" ht="18" customHeight="1" x14ac:dyDescent="0.25">
      <c r="A100" s="3" t="s">
        <v>368</v>
      </c>
      <c r="B100" s="212">
        <v>5</v>
      </c>
      <c r="C100" s="5">
        <f t="shared" si="0"/>
        <v>148500000</v>
      </c>
      <c r="D100" s="213"/>
    </row>
    <row r="101" spans="1:4" s="196" customFormat="1" ht="18" customHeight="1" x14ac:dyDescent="0.25">
      <c r="A101" s="3" t="s">
        <v>35</v>
      </c>
      <c r="B101" s="212">
        <v>3</v>
      </c>
      <c r="C101" s="5">
        <f t="shared" si="0"/>
        <v>89100000</v>
      </c>
      <c r="D101" s="213"/>
    </row>
    <row r="102" spans="1:4" s="196" customFormat="1" ht="18" customHeight="1" x14ac:dyDescent="0.25">
      <c r="A102" s="3" t="s">
        <v>36</v>
      </c>
      <c r="B102" s="212">
        <v>3</v>
      </c>
      <c r="C102" s="5">
        <f t="shared" si="0"/>
        <v>89100000</v>
      </c>
      <c r="D102" s="213"/>
    </row>
    <row r="103" spans="1:4" s="196" customFormat="1" ht="18" customHeight="1" x14ac:dyDescent="0.25">
      <c r="A103" s="3" t="s">
        <v>37</v>
      </c>
      <c r="B103" s="212">
        <v>4</v>
      </c>
      <c r="C103" s="5">
        <f t="shared" si="0"/>
        <v>118800000</v>
      </c>
      <c r="D103" s="213"/>
    </row>
    <row r="104" spans="1:4" s="196" customFormat="1" ht="20.100000000000001" customHeight="1" x14ac:dyDescent="0.25">
      <c r="A104" s="206" t="s">
        <v>18</v>
      </c>
      <c r="B104" s="1"/>
      <c r="C104" s="2">
        <f>SUM(C105:C129)</f>
        <v>2970010000</v>
      </c>
      <c r="D104" s="130"/>
    </row>
    <row r="105" spans="1:4" s="196" customFormat="1" ht="45" x14ac:dyDescent="0.25">
      <c r="A105" s="3" t="s">
        <v>597</v>
      </c>
      <c r="B105" s="212"/>
      <c r="C105" s="5">
        <v>500000000</v>
      </c>
      <c r="D105" s="130"/>
    </row>
    <row r="106" spans="1:4" s="196" customFormat="1" ht="16.149999999999999" customHeight="1" x14ac:dyDescent="0.25">
      <c r="A106" s="3" t="s">
        <v>38</v>
      </c>
      <c r="B106" s="4"/>
      <c r="C106" s="5">
        <v>22000000</v>
      </c>
      <c r="D106" s="130"/>
    </row>
    <row r="107" spans="1:4" s="196" customFormat="1" ht="16.149999999999999" customHeight="1" x14ac:dyDescent="0.25">
      <c r="A107" s="3" t="s">
        <v>39</v>
      </c>
      <c r="B107" s="4"/>
      <c r="C107" s="5">
        <v>13560000</v>
      </c>
      <c r="D107" s="130"/>
    </row>
    <row r="108" spans="1:4" s="194" customFormat="1" ht="16.149999999999999" customHeight="1" x14ac:dyDescent="0.25">
      <c r="A108" s="211" t="s">
        <v>41</v>
      </c>
      <c r="B108" s="212"/>
      <c r="C108" s="5">
        <v>20000000</v>
      </c>
      <c r="D108" s="213"/>
    </row>
    <row r="109" spans="1:4" s="194" customFormat="1" ht="16.149999999999999" customHeight="1" x14ac:dyDescent="0.25">
      <c r="A109" s="211" t="s">
        <v>42</v>
      </c>
      <c r="B109" s="212"/>
      <c r="C109" s="5">
        <v>700000000</v>
      </c>
      <c r="D109" s="213"/>
    </row>
    <row r="110" spans="1:4" s="194" customFormat="1" ht="16.149999999999999" customHeight="1" x14ac:dyDescent="0.25">
      <c r="A110" s="3" t="s">
        <v>43</v>
      </c>
      <c r="B110" s="212"/>
      <c r="C110" s="5">
        <v>6500000</v>
      </c>
      <c r="D110" s="213"/>
    </row>
    <row r="111" spans="1:4" s="194" customFormat="1" ht="16.149999999999999" customHeight="1" x14ac:dyDescent="0.25">
      <c r="A111" s="3" t="s">
        <v>593</v>
      </c>
      <c r="B111" s="212"/>
      <c r="C111" s="5">
        <v>17800000</v>
      </c>
      <c r="D111" s="213"/>
    </row>
    <row r="112" spans="1:4" s="194" customFormat="1" ht="16.149999999999999" customHeight="1" x14ac:dyDescent="0.25">
      <c r="A112" s="3" t="s">
        <v>44</v>
      </c>
      <c r="B112" s="212"/>
      <c r="C112" s="5">
        <v>13350000</v>
      </c>
      <c r="D112" s="213"/>
    </row>
    <row r="113" spans="1:4" s="194" customFormat="1" ht="16.149999999999999" customHeight="1" x14ac:dyDescent="0.25">
      <c r="A113" s="211" t="s">
        <v>45</v>
      </c>
      <c r="B113" s="212"/>
      <c r="C113" s="5">
        <v>200000000</v>
      </c>
      <c r="D113" s="213"/>
    </row>
    <row r="114" spans="1:4" s="194" customFormat="1" ht="16.149999999999999" customHeight="1" x14ac:dyDescent="0.25">
      <c r="A114" s="3" t="s">
        <v>553</v>
      </c>
      <c r="B114" s="212"/>
      <c r="C114" s="5">
        <v>13200000</v>
      </c>
      <c r="D114" s="213"/>
    </row>
    <row r="115" spans="1:4" s="194" customFormat="1" ht="16.149999999999999" customHeight="1" x14ac:dyDescent="0.25">
      <c r="A115" s="3" t="s">
        <v>487</v>
      </c>
      <c r="B115" s="212"/>
      <c r="C115" s="5">
        <v>50000000</v>
      </c>
      <c r="D115" s="213"/>
    </row>
    <row r="116" spans="1:4" s="194" customFormat="1" ht="30" x14ac:dyDescent="0.25">
      <c r="A116" s="3" t="s">
        <v>552</v>
      </c>
      <c r="B116" s="212"/>
      <c r="C116" s="5">
        <v>170000000</v>
      </c>
      <c r="D116" s="213"/>
    </row>
    <row r="117" spans="1:4" s="194" customFormat="1" ht="16.5" customHeight="1" x14ac:dyDescent="0.25">
      <c r="A117" s="3" t="s">
        <v>48</v>
      </c>
      <c r="B117" s="212"/>
      <c r="C117" s="5">
        <v>3000000</v>
      </c>
      <c r="D117" s="213"/>
    </row>
    <row r="118" spans="1:4" s="194" customFormat="1" ht="16.5" customHeight="1" x14ac:dyDescent="0.25">
      <c r="A118" s="3" t="s">
        <v>49</v>
      </c>
      <c r="B118" s="212"/>
      <c r="C118" s="5">
        <v>100000000</v>
      </c>
      <c r="D118" s="213"/>
    </row>
    <row r="119" spans="1:4" s="194" customFormat="1" ht="16.5" customHeight="1" x14ac:dyDescent="0.25">
      <c r="A119" s="3" t="s">
        <v>50</v>
      </c>
      <c r="B119" s="212"/>
      <c r="C119" s="5">
        <v>150000000</v>
      </c>
      <c r="D119" s="213"/>
    </row>
    <row r="120" spans="1:4" s="194" customFormat="1" ht="30" x14ac:dyDescent="0.25">
      <c r="A120" s="3" t="s">
        <v>594</v>
      </c>
      <c r="B120" s="212"/>
      <c r="C120" s="5">
        <v>180000000</v>
      </c>
      <c r="D120" s="213"/>
    </row>
    <row r="121" spans="1:4" s="194" customFormat="1" ht="17.100000000000001" customHeight="1" x14ac:dyDescent="0.25">
      <c r="A121" s="3" t="s">
        <v>556</v>
      </c>
      <c r="B121" s="212"/>
      <c r="C121" s="5">
        <v>50000000</v>
      </c>
      <c r="D121" s="213"/>
    </row>
    <row r="122" spans="1:4" s="194" customFormat="1" ht="17.649999999999999" customHeight="1" x14ac:dyDescent="0.25">
      <c r="A122" s="3" t="s">
        <v>51</v>
      </c>
      <c r="B122" s="212"/>
      <c r="C122" s="5">
        <v>35600000</v>
      </c>
      <c r="D122" s="213"/>
    </row>
    <row r="123" spans="1:4" s="194" customFormat="1" ht="16.149999999999999" customHeight="1" x14ac:dyDescent="0.25">
      <c r="A123" s="3" t="s">
        <v>52</v>
      </c>
      <c r="B123" s="212"/>
      <c r="C123" s="5">
        <v>150000000</v>
      </c>
      <c r="D123" s="213"/>
    </row>
    <row r="124" spans="1:4" s="194" customFormat="1" ht="18" customHeight="1" x14ac:dyDescent="0.25">
      <c r="A124" s="3" t="s">
        <v>53</v>
      </c>
      <c r="B124" s="212"/>
      <c r="C124" s="5">
        <v>15000000</v>
      </c>
      <c r="D124" s="213"/>
    </row>
    <row r="125" spans="1:4" s="194" customFormat="1" ht="18" customHeight="1" x14ac:dyDescent="0.25">
      <c r="A125" s="3" t="s">
        <v>54</v>
      </c>
      <c r="B125" s="212"/>
      <c r="C125" s="5">
        <v>90000000</v>
      </c>
      <c r="D125" s="213"/>
    </row>
    <row r="126" spans="1:4" s="194" customFormat="1" ht="18" customHeight="1" x14ac:dyDescent="0.25">
      <c r="A126" s="3" t="s">
        <v>55</v>
      </c>
      <c r="B126" s="212"/>
      <c r="C126" s="5">
        <v>50000000</v>
      </c>
      <c r="D126" s="213"/>
    </row>
    <row r="127" spans="1:4" s="194" customFormat="1" ht="21.6" customHeight="1" x14ac:dyDescent="0.25">
      <c r="A127" s="3" t="s">
        <v>56</v>
      </c>
      <c r="B127" s="212"/>
      <c r="C127" s="5">
        <v>50000000</v>
      </c>
      <c r="D127" s="213"/>
    </row>
    <row r="128" spans="1:4" s="194" customFormat="1" ht="19.149999999999999" customHeight="1" x14ac:dyDescent="0.25">
      <c r="A128" s="3" t="s">
        <v>57</v>
      </c>
      <c r="B128" s="212"/>
      <c r="C128" s="5">
        <v>300000000</v>
      </c>
      <c r="D128" s="213"/>
    </row>
    <row r="129" spans="1:4" s="194" customFormat="1" ht="45" x14ac:dyDescent="0.25">
      <c r="A129" s="3" t="s">
        <v>599</v>
      </c>
      <c r="B129" s="212"/>
      <c r="C129" s="5">
        <v>70000000</v>
      </c>
      <c r="D129" s="213"/>
    </row>
    <row r="130" spans="1:4" s="194" customFormat="1" ht="18" customHeight="1" x14ac:dyDescent="0.25">
      <c r="A130" s="206" t="s">
        <v>58</v>
      </c>
      <c r="B130" s="127">
        <f>B131+B143+B156+B166+B177+B187+B200+B208+B221+B228+B242+B253+B263</f>
        <v>55</v>
      </c>
      <c r="C130" s="2">
        <f>C131+C143+C156+C166+C177+C187+C200+C208+C221+C228+C242+C253+C263</f>
        <v>33479881000</v>
      </c>
      <c r="D130" s="128"/>
    </row>
    <row r="131" spans="1:4" s="194" customFormat="1" ht="17.649999999999999" customHeight="1" x14ac:dyDescent="0.25">
      <c r="A131" s="206" t="s">
        <v>59</v>
      </c>
      <c r="B131" s="127">
        <f>B132+B136+B138</f>
        <v>3</v>
      </c>
      <c r="C131" s="2">
        <f>C132+C136+C138</f>
        <v>1195763000</v>
      </c>
      <c r="D131" s="128"/>
    </row>
    <row r="132" spans="1:4" s="194" customFormat="1" ht="17.649999999999999" customHeight="1" x14ac:dyDescent="0.25">
      <c r="A132" s="206" t="s">
        <v>13</v>
      </c>
      <c r="B132" s="1"/>
      <c r="C132" s="2">
        <f>SUM(C133:C135)</f>
        <v>682663000</v>
      </c>
      <c r="D132" s="128"/>
    </row>
    <row r="133" spans="1:4" s="196" customFormat="1" ht="17.649999999999999" customHeight="1" x14ac:dyDescent="0.25">
      <c r="A133" s="3" t="s">
        <v>389</v>
      </c>
      <c r="B133" s="212"/>
      <c r="C133" s="5">
        <v>664239000</v>
      </c>
      <c r="D133" s="213"/>
    </row>
    <row r="134" spans="1:4" s="196" customFormat="1" ht="17.649999999999999" customHeight="1" x14ac:dyDescent="0.25">
      <c r="A134" s="3" t="s">
        <v>60</v>
      </c>
      <c r="B134" s="212"/>
      <c r="C134" s="5">
        <v>10000000</v>
      </c>
      <c r="D134" s="213"/>
    </row>
    <row r="135" spans="1:4" s="196" customFormat="1" ht="17.649999999999999" customHeight="1" x14ac:dyDescent="0.25">
      <c r="A135" s="3" t="s">
        <v>14</v>
      </c>
      <c r="B135" s="212"/>
      <c r="C135" s="5">
        <f>0.3*2340000*12</f>
        <v>8424000</v>
      </c>
      <c r="D135" s="213"/>
    </row>
    <row r="136" spans="1:4" s="196" customFormat="1" ht="17.649999999999999" customHeight="1" x14ac:dyDescent="0.25">
      <c r="A136" s="206" t="s">
        <v>16</v>
      </c>
      <c r="B136" s="216">
        <f>SUM(B137:B137)</f>
        <v>3</v>
      </c>
      <c r="C136" s="208">
        <f>SUM(C137:C137)</f>
        <v>89100000</v>
      </c>
      <c r="D136" s="213"/>
    </row>
    <row r="137" spans="1:4" s="196" customFormat="1" ht="17.649999999999999" customHeight="1" x14ac:dyDescent="0.25">
      <c r="A137" s="3" t="s">
        <v>17</v>
      </c>
      <c r="B137" s="212">
        <v>3</v>
      </c>
      <c r="C137" s="5">
        <f>B137*29700000</f>
        <v>89100000</v>
      </c>
      <c r="D137" s="213"/>
    </row>
    <row r="138" spans="1:4" s="196" customFormat="1" ht="17.649999999999999" customHeight="1" x14ac:dyDescent="0.25">
      <c r="A138" s="206" t="s">
        <v>18</v>
      </c>
      <c r="B138" s="212"/>
      <c r="C138" s="208">
        <f>SUM(C139:C142)</f>
        <v>424000000</v>
      </c>
      <c r="D138" s="213"/>
    </row>
    <row r="139" spans="1:4" s="196" customFormat="1" ht="19.149999999999999" customHeight="1" x14ac:dyDescent="0.25">
      <c r="A139" s="3" t="s">
        <v>390</v>
      </c>
      <c r="B139" s="212"/>
      <c r="C139" s="217">
        <v>104000000</v>
      </c>
      <c r="D139" s="213"/>
    </row>
    <row r="140" spans="1:4" s="196" customFormat="1" ht="19.149999999999999" customHeight="1" x14ac:dyDescent="0.25">
      <c r="A140" s="3" t="s">
        <v>391</v>
      </c>
      <c r="B140" s="212"/>
      <c r="C140" s="217">
        <v>200000000</v>
      </c>
      <c r="D140" s="213"/>
    </row>
    <row r="141" spans="1:4" s="196" customFormat="1" ht="19.149999999999999" customHeight="1" x14ac:dyDescent="0.25">
      <c r="A141" s="3" t="s">
        <v>409</v>
      </c>
      <c r="B141" s="212"/>
      <c r="C141" s="5"/>
      <c r="D141" s="218"/>
    </row>
    <row r="142" spans="1:4" s="196" customFormat="1" ht="30" x14ac:dyDescent="0.25">
      <c r="A142" s="3" t="s">
        <v>97</v>
      </c>
      <c r="B142" s="212"/>
      <c r="C142" s="5">
        <v>120000000</v>
      </c>
      <c r="D142" s="218"/>
    </row>
    <row r="143" spans="1:4" s="194" customFormat="1" ht="18" customHeight="1" x14ac:dyDescent="0.25">
      <c r="A143" s="206" t="s">
        <v>369</v>
      </c>
      <c r="B143" s="127">
        <f>B144+B148+B150</f>
        <v>5</v>
      </c>
      <c r="C143" s="2">
        <f>C144+C148+C150</f>
        <v>1493214000</v>
      </c>
      <c r="D143" s="128"/>
    </row>
    <row r="144" spans="1:4" s="194" customFormat="1" ht="18" customHeight="1" x14ac:dyDescent="0.25">
      <c r="A144" s="206" t="s">
        <v>13</v>
      </c>
      <c r="B144" s="1"/>
      <c r="C144" s="2">
        <f>SUM(C145:C147)</f>
        <v>1050314000</v>
      </c>
      <c r="D144" s="128"/>
    </row>
    <row r="145" spans="1:4" s="196" customFormat="1" ht="19.149999999999999" customHeight="1" x14ac:dyDescent="0.25">
      <c r="A145" s="3" t="s">
        <v>389</v>
      </c>
      <c r="B145" s="212"/>
      <c r="C145" s="5">
        <v>1029890000</v>
      </c>
      <c r="D145" s="213"/>
    </row>
    <row r="146" spans="1:4" s="196" customFormat="1" ht="19.149999999999999" customHeight="1" x14ac:dyDescent="0.25">
      <c r="A146" s="3" t="s">
        <v>61</v>
      </c>
      <c r="B146" s="212"/>
      <c r="C146" s="5">
        <v>12000000</v>
      </c>
      <c r="D146" s="213"/>
    </row>
    <row r="147" spans="1:4" s="196" customFormat="1" ht="19.149999999999999" customHeight="1" x14ac:dyDescent="0.25">
      <c r="A147" s="3" t="s">
        <v>14</v>
      </c>
      <c r="B147" s="212"/>
      <c r="C147" s="5">
        <f>0.3*2340000*12</f>
        <v>8424000</v>
      </c>
      <c r="D147" s="213"/>
    </row>
    <row r="148" spans="1:4" s="196" customFormat="1" ht="19.149999999999999" customHeight="1" x14ac:dyDescent="0.25">
      <c r="A148" s="206" t="s">
        <v>16</v>
      </c>
      <c r="B148" s="216">
        <f>SUM(B149:B149)</f>
        <v>5</v>
      </c>
      <c r="C148" s="208">
        <f>SUM(C149:C149)</f>
        <v>148500000</v>
      </c>
      <c r="D148" s="213"/>
    </row>
    <row r="149" spans="1:4" s="196" customFormat="1" ht="19.149999999999999" customHeight="1" x14ac:dyDescent="0.25">
      <c r="A149" s="3" t="s">
        <v>17</v>
      </c>
      <c r="B149" s="212">
        <v>5</v>
      </c>
      <c r="C149" s="5">
        <f>B149*29700000</f>
        <v>148500000</v>
      </c>
      <c r="D149" s="213"/>
    </row>
    <row r="150" spans="1:4" s="196" customFormat="1" ht="19.149999999999999" customHeight="1" x14ac:dyDescent="0.25">
      <c r="A150" s="206" t="s">
        <v>18</v>
      </c>
      <c r="B150" s="207"/>
      <c r="C150" s="208">
        <f>SUM(C151:C155)</f>
        <v>294400000</v>
      </c>
      <c r="D150" s="213"/>
    </row>
    <row r="151" spans="1:4" s="196" customFormat="1" ht="18" customHeight="1" x14ac:dyDescent="0.25">
      <c r="A151" s="3" t="s">
        <v>62</v>
      </c>
      <c r="B151" s="212"/>
      <c r="C151" s="5">
        <v>100000000</v>
      </c>
      <c r="D151" s="213"/>
    </row>
    <row r="152" spans="1:4" s="194" customFormat="1" ht="18" customHeight="1" x14ac:dyDescent="0.25">
      <c r="A152" s="3" t="s">
        <v>394</v>
      </c>
      <c r="B152" s="212"/>
      <c r="C152" s="5">
        <v>70000000</v>
      </c>
      <c r="D152" s="213"/>
    </row>
    <row r="153" spans="1:4" s="194" customFormat="1" ht="44.1" customHeight="1" x14ac:dyDescent="0.25">
      <c r="A153" s="3" t="s">
        <v>393</v>
      </c>
      <c r="B153" s="212"/>
      <c r="C153" s="5">
        <v>80000000</v>
      </c>
      <c r="D153" s="213"/>
    </row>
    <row r="154" spans="1:4" s="194" customFormat="1" ht="31.15" customHeight="1" x14ac:dyDescent="0.25">
      <c r="A154" s="3" t="s">
        <v>395</v>
      </c>
      <c r="B154" s="212"/>
      <c r="C154" s="5">
        <v>30000000</v>
      </c>
      <c r="D154" s="213"/>
    </row>
    <row r="155" spans="1:4" s="194" customFormat="1" ht="30" customHeight="1" x14ac:dyDescent="0.25">
      <c r="A155" s="3" t="s">
        <v>578</v>
      </c>
      <c r="B155" s="212"/>
      <c r="C155" s="5">
        <f>1200000*12</f>
        <v>14400000</v>
      </c>
      <c r="D155" s="213"/>
    </row>
    <row r="156" spans="1:4" s="194" customFormat="1" ht="19.149999999999999" customHeight="1" x14ac:dyDescent="0.25">
      <c r="A156" s="206" t="s">
        <v>396</v>
      </c>
      <c r="B156" s="127" cm="1">
        <f t="array" ref="B156">SUM(B157:B164/2)</f>
        <v>3</v>
      </c>
      <c r="C156" s="2">
        <f>C157+C161+C163</f>
        <v>973169000</v>
      </c>
      <c r="D156" s="128"/>
    </row>
    <row r="157" spans="1:4" s="194" customFormat="1" ht="19.149999999999999" customHeight="1" x14ac:dyDescent="0.25">
      <c r="A157" s="206" t="s">
        <v>13</v>
      </c>
      <c r="B157" s="1"/>
      <c r="C157" s="2">
        <f>SUM(C158:C160)</f>
        <v>694069000</v>
      </c>
      <c r="D157" s="128"/>
    </row>
    <row r="158" spans="1:4" s="196" customFormat="1" ht="17.100000000000001" customHeight="1" x14ac:dyDescent="0.25">
      <c r="A158" s="3" t="s">
        <v>389</v>
      </c>
      <c r="B158" s="212"/>
      <c r="C158" s="5">
        <v>679150000</v>
      </c>
      <c r="D158" s="213"/>
    </row>
    <row r="159" spans="1:4" s="196" customFormat="1" ht="17.100000000000001" customHeight="1" x14ac:dyDescent="0.25">
      <c r="A159" s="3" t="s">
        <v>60</v>
      </c>
      <c r="B159" s="212"/>
      <c r="C159" s="5">
        <v>12000000</v>
      </c>
      <c r="D159" s="213"/>
    </row>
    <row r="160" spans="1:4" s="196" customFormat="1" ht="17.100000000000001" customHeight="1" x14ac:dyDescent="0.25">
      <c r="A160" s="3" t="s">
        <v>14</v>
      </c>
      <c r="B160" s="212"/>
      <c r="C160" s="5">
        <f>0.3*2340000*12-5505000</f>
        <v>2919000</v>
      </c>
      <c r="D160" s="213"/>
    </row>
    <row r="161" spans="1:4" s="196" customFormat="1" ht="19.149999999999999" customHeight="1" x14ac:dyDescent="0.25">
      <c r="A161" s="206" t="s">
        <v>16</v>
      </c>
      <c r="B161" s="216">
        <f>SUM(B162:B162)</f>
        <v>3</v>
      </c>
      <c r="C161" s="208">
        <f>SUM(C162:C162)</f>
        <v>89100000</v>
      </c>
      <c r="D161" s="213"/>
    </row>
    <row r="162" spans="1:4" s="196" customFormat="1" ht="19.149999999999999" customHeight="1" x14ac:dyDescent="0.25">
      <c r="A162" s="3" t="s">
        <v>17</v>
      </c>
      <c r="B162" s="212">
        <v>3</v>
      </c>
      <c r="C162" s="5">
        <f>B162*29700000</f>
        <v>89100000</v>
      </c>
      <c r="D162" s="213"/>
    </row>
    <row r="163" spans="1:4" s="196" customFormat="1" ht="19.149999999999999" customHeight="1" x14ac:dyDescent="0.25">
      <c r="A163" s="206" t="s">
        <v>18</v>
      </c>
      <c r="B163" s="207"/>
      <c r="C163" s="208">
        <f>SUM(C164:C165)</f>
        <v>190000000</v>
      </c>
      <c r="D163" s="213"/>
    </row>
    <row r="164" spans="1:4" s="194" customFormat="1" ht="48" customHeight="1" x14ac:dyDescent="0.25">
      <c r="A164" s="3" t="s">
        <v>397</v>
      </c>
      <c r="B164" s="212"/>
      <c r="C164" s="5">
        <v>90000000</v>
      </c>
      <c r="D164" s="213"/>
    </row>
    <row r="165" spans="1:4" s="194" customFormat="1" ht="22.15" customHeight="1" x14ac:dyDescent="0.25">
      <c r="A165" s="3" t="s">
        <v>574</v>
      </c>
      <c r="B165" s="212"/>
      <c r="C165" s="5">
        <v>100000000</v>
      </c>
      <c r="D165" s="213"/>
    </row>
    <row r="166" spans="1:4" s="194" customFormat="1" ht="17.649999999999999" customHeight="1" x14ac:dyDescent="0.25">
      <c r="A166" s="206" t="s">
        <v>370</v>
      </c>
      <c r="B166" s="127">
        <f>B167+B171+B173</f>
        <v>2</v>
      </c>
      <c r="C166" s="2">
        <f>C167+C171+C173</f>
        <v>469688000</v>
      </c>
      <c r="D166" s="128"/>
    </row>
    <row r="167" spans="1:4" s="194" customFormat="1" ht="17.649999999999999" customHeight="1" x14ac:dyDescent="0.25">
      <c r="A167" s="206" t="s">
        <v>13</v>
      </c>
      <c r="B167" s="1"/>
      <c r="C167" s="2">
        <f>SUM(C168:C170)</f>
        <v>330288000</v>
      </c>
      <c r="D167" s="128"/>
    </row>
    <row r="168" spans="1:4" s="196" customFormat="1" ht="17.649999999999999" customHeight="1" x14ac:dyDescent="0.25">
      <c r="A168" s="3" t="s">
        <v>389</v>
      </c>
      <c r="B168" s="212"/>
      <c r="C168" s="5">
        <v>309864000</v>
      </c>
      <c r="D168" s="213"/>
    </row>
    <row r="169" spans="1:4" s="196" customFormat="1" ht="17.649999999999999" customHeight="1" x14ac:dyDescent="0.25">
      <c r="A169" s="3" t="s">
        <v>14</v>
      </c>
      <c r="B169" s="212"/>
      <c r="C169" s="5">
        <f>0.3*2340000*12</f>
        <v>8424000</v>
      </c>
      <c r="D169" s="213"/>
    </row>
    <row r="170" spans="1:4" s="196" customFormat="1" ht="17.649999999999999" customHeight="1" x14ac:dyDescent="0.25">
      <c r="A170" s="3" t="s">
        <v>60</v>
      </c>
      <c r="B170" s="212"/>
      <c r="C170" s="5">
        <v>12000000</v>
      </c>
      <c r="D170" s="213"/>
    </row>
    <row r="171" spans="1:4" s="196" customFormat="1" ht="17.649999999999999" customHeight="1" x14ac:dyDescent="0.25">
      <c r="A171" s="206" t="s">
        <v>16</v>
      </c>
      <c r="B171" s="127">
        <f>SUM(B172:B172)</f>
        <v>2</v>
      </c>
      <c r="C171" s="2">
        <f>SUM(C172:C172)</f>
        <v>59400000</v>
      </c>
      <c r="D171" s="213"/>
    </row>
    <row r="172" spans="1:4" s="196" customFormat="1" ht="17.649999999999999" customHeight="1" x14ac:dyDescent="0.25">
      <c r="A172" s="3" t="s">
        <v>17</v>
      </c>
      <c r="B172" s="212">
        <v>2</v>
      </c>
      <c r="C172" s="5">
        <f>B172*29700000</f>
        <v>59400000</v>
      </c>
      <c r="D172" s="213"/>
    </row>
    <row r="173" spans="1:4" s="196" customFormat="1" ht="19.149999999999999" customHeight="1" x14ac:dyDescent="0.25">
      <c r="A173" s="206" t="s">
        <v>18</v>
      </c>
      <c r="B173" s="207"/>
      <c r="C173" s="208">
        <f>SUM(C174:C176)</f>
        <v>80000000</v>
      </c>
      <c r="D173" s="213"/>
    </row>
    <row r="174" spans="1:4" s="196" customFormat="1" ht="19.149999999999999" customHeight="1" x14ac:dyDescent="0.25">
      <c r="A174" s="3" t="s">
        <v>63</v>
      </c>
      <c r="B174" s="212"/>
      <c r="C174" s="5">
        <v>10000000</v>
      </c>
      <c r="D174" s="213"/>
    </row>
    <row r="175" spans="1:4" s="196" customFormat="1" ht="19.149999999999999" customHeight="1" x14ac:dyDescent="0.25">
      <c r="A175" s="3" t="s">
        <v>64</v>
      </c>
      <c r="B175" s="212"/>
      <c r="C175" s="5">
        <v>20000000</v>
      </c>
      <c r="D175" s="213"/>
    </row>
    <row r="176" spans="1:4" s="196" customFormat="1" ht="19.149999999999999" customHeight="1" x14ac:dyDescent="0.25">
      <c r="A176" s="3" t="s">
        <v>62</v>
      </c>
      <c r="B176" s="212"/>
      <c r="C176" s="5">
        <v>50000000</v>
      </c>
      <c r="D176" s="213"/>
    </row>
    <row r="177" spans="1:4" s="194" customFormat="1" ht="19.149999999999999" customHeight="1" x14ac:dyDescent="0.25">
      <c r="A177" s="206" t="s">
        <v>371</v>
      </c>
      <c r="B177" s="127">
        <f>B178+B181+B183</f>
        <v>3</v>
      </c>
      <c r="C177" s="2">
        <f>C178+C181+C183</f>
        <v>659599000</v>
      </c>
      <c r="D177" s="130"/>
    </row>
    <row r="178" spans="1:4" s="194" customFormat="1" ht="19.149999999999999" customHeight="1" x14ac:dyDescent="0.25">
      <c r="A178" s="206" t="s">
        <v>13</v>
      </c>
      <c r="B178" s="1"/>
      <c r="C178" s="2">
        <f>SUM(C179:C180)</f>
        <v>434899000</v>
      </c>
      <c r="D178" s="128"/>
    </row>
    <row r="179" spans="1:4" s="196" customFormat="1" ht="19.149999999999999" customHeight="1" x14ac:dyDescent="0.25">
      <c r="A179" s="3" t="s">
        <v>389</v>
      </c>
      <c r="B179" s="212"/>
      <c r="C179" s="5">
        <v>422899000</v>
      </c>
      <c r="D179" s="213"/>
    </row>
    <row r="180" spans="1:4" s="196" customFormat="1" ht="19.149999999999999" customHeight="1" x14ac:dyDescent="0.25">
      <c r="A180" s="3" t="s">
        <v>60</v>
      </c>
      <c r="B180" s="212"/>
      <c r="C180" s="5">
        <v>12000000</v>
      </c>
      <c r="D180" s="213"/>
    </row>
    <row r="181" spans="1:4" s="196" customFormat="1" ht="19.149999999999999" customHeight="1" x14ac:dyDescent="0.25">
      <c r="A181" s="206" t="s">
        <v>16</v>
      </c>
      <c r="B181" s="216">
        <f>SUM(B182:B182)</f>
        <v>3</v>
      </c>
      <c r="C181" s="208">
        <f>SUM(C182:C182)</f>
        <v>89100000</v>
      </c>
      <c r="D181" s="213"/>
    </row>
    <row r="182" spans="1:4" s="196" customFormat="1" ht="19.149999999999999" customHeight="1" x14ac:dyDescent="0.25">
      <c r="A182" s="3" t="s">
        <v>17</v>
      </c>
      <c r="B182" s="212">
        <v>3</v>
      </c>
      <c r="C182" s="5">
        <f>B182*29700000</f>
        <v>89100000</v>
      </c>
      <c r="D182" s="213"/>
    </row>
    <row r="183" spans="1:4" s="196" customFormat="1" ht="19.149999999999999" customHeight="1" x14ac:dyDescent="0.25">
      <c r="A183" s="206" t="s">
        <v>18</v>
      </c>
      <c r="B183" s="207"/>
      <c r="C183" s="208">
        <f>SUM(C184:C186)</f>
        <v>135600000</v>
      </c>
      <c r="D183" s="213"/>
    </row>
    <row r="184" spans="1:4" s="196" customFormat="1" ht="19.149999999999999" customHeight="1" x14ac:dyDescent="0.25">
      <c r="A184" s="3" t="s">
        <v>65</v>
      </c>
      <c r="B184" s="212"/>
      <c r="C184" s="5">
        <v>35600000</v>
      </c>
      <c r="D184" s="213"/>
    </row>
    <row r="185" spans="1:4" s="196" customFormat="1" ht="19.149999999999999" customHeight="1" x14ac:dyDescent="0.25">
      <c r="A185" s="3" t="s">
        <v>91</v>
      </c>
      <c r="B185" s="212"/>
      <c r="C185" s="5">
        <v>50000000</v>
      </c>
      <c r="D185" s="213"/>
    </row>
    <row r="186" spans="1:4" s="196" customFormat="1" ht="19.149999999999999" customHeight="1" x14ac:dyDescent="0.25">
      <c r="A186" s="3" t="s">
        <v>416</v>
      </c>
      <c r="B186" s="212"/>
      <c r="C186" s="5">
        <v>50000000</v>
      </c>
      <c r="D186" s="213"/>
    </row>
    <row r="187" spans="1:4" s="194" customFormat="1" ht="17.649999999999999" customHeight="1" x14ac:dyDescent="0.25">
      <c r="A187" s="206" t="s">
        <v>66</v>
      </c>
      <c r="B187" s="127">
        <f>B188+B192+B194</f>
        <v>5</v>
      </c>
      <c r="C187" s="2">
        <f>C188+C192+C194</f>
        <v>2851759000</v>
      </c>
      <c r="D187" s="130"/>
    </row>
    <row r="188" spans="1:4" s="194" customFormat="1" ht="17.649999999999999" customHeight="1" x14ac:dyDescent="0.25">
      <c r="A188" s="206" t="s">
        <v>13</v>
      </c>
      <c r="B188" s="1"/>
      <c r="C188" s="2">
        <f>SUM(C189:C191)</f>
        <v>1123259000</v>
      </c>
      <c r="D188" s="128"/>
    </row>
    <row r="189" spans="1:4" s="196" customFormat="1" ht="17.649999999999999" customHeight="1" x14ac:dyDescent="0.25">
      <c r="A189" s="3" t="s">
        <v>389</v>
      </c>
      <c r="B189" s="212"/>
      <c r="C189" s="5">
        <v>1102835000</v>
      </c>
      <c r="D189" s="213"/>
    </row>
    <row r="190" spans="1:4" s="196" customFormat="1" ht="17.649999999999999" customHeight="1" x14ac:dyDescent="0.25">
      <c r="A190" s="3" t="s">
        <v>14</v>
      </c>
      <c r="B190" s="1"/>
      <c r="C190" s="5">
        <f>0.3*2340000*12</f>
        <v>8424000</v>
      </c>
      <c r="D190" s="213"/>
    </row>
    <row r="191" spans="1:4" s="196" customFormat="1" ht="17.649999999999999" customHeight="1" x14ac:dyDescent="0.25">
      <c r="A191" s="3" t="s">
        <v>60</v>
      </c>
      <c r="B191" s="212"/>
      <c r="C191" s="5">
        <v>12000000</v>
      </c>
      <c r="D191" s="213"/>
    </row>
    <row r="192" spans="1:4" s="196" customFormat="1" ht="16.5" customHeight="1" x14ac:dyDescent="0.25">
      <c r="A192" s="206" t="s">
        <v>16</v>
      </c>
      <c r="B192" s="216">
        <f>SUM(B193:B193)</f>
        <v>5</v>
      </c>
      <c r="C192" s="208">
        <f>SUM(C193:C193)</f>
        <v>148500000</v>
      </c>
      <c r="D192" s="213"/>
    </row>
    <row r="193" spans="1:4" s="196" customFormat="1" ht="16.5" customHeight="1" x14ac:dyDescent="0.25">
      <c r="A193" s="3" t="s">
        <v>17</v>
      </c>
      <c r="B193" s="212">
        <v>5</v>
      </c>
      <c r="C193" s="5">
        <f>B193*29700000</f>
        <v>148500000</v>
      </c>
      <c r="D193" s="213"/>
    </row>
    <row r="194" spans="1:4" s="196" customFormat="1" ht="16.5" customHeight="1" x14ac:dyDescent="0.25">
      <c r="A194" s="206" t="s">
        <v>18</v>
      </c>
      <c r="B194" s="207"/>
      <c r="C194" s="208">
        <f>SUM(C195:C199)</f>
        <v>1580000000</v>
      </c>
      <c r="D194" s="213"/>
    </row>
    <row r="195" spans="1:4" s="196" customFormat="1" ht="16.5" customHeight="1" x14ac:dyDescent="0.25">
      <c r="A195" s="3" t="s">
        <v>67</v>
      </c>
      <c r="B195" s="212"/>
      <c r="C195" s="5">
        <v>17800000</v>
      </c>
      <c r="D195" s="213"/>
    </row>
    <row r="196" spans="1:4" s="196" customFormat="1" ht="16.5" customHeight="1" x14ac:dyDescent="0.25">
      <c r="A196" s="3" t="s">
        <v>62</v>
      </c>
      <c r="B196" s="212"/>
      <c r="C196" s="5">
        <v>17800000</v>
      </c>
      <c r="D196" s="213"/>
    </row>
    <row r="197" spans="1:4" s="196" customFormat="1" ht="16.5" customHeight="1" x14ac:dyDescent="0.25">
      <c r="A197" s="3" t="s">
        <v>398</v>
      </c>
      <c r="B197" s="212"/>
      <c r="C197" s="5">
        <v>130000000</v>
      </c>
      <c r="D197" s="209"/>
    </row>
    <row r="198" spans="1:4" s="194" customFormat="1" ht="30" customHeight="1" x14ac:dyDescent="0.25">
      <c r="A198" s="3" t="s">
        <v>578</v>
      </c>
      <c r="B198" s="212"/>
      <c r="C198" s="5">
        <f>1200000*12</f>
        <v>14400000</v>
      </c>
      <c r="D198" s="213"/>
    </row>
    <row r="199" spans="1:4" s="196" customFormat="1" ht="16.5" customHeight="1" x14ac:dyDescent="0.25">
      <c r="A199" s="3" t="s">
        <v>110</v>
      </c>
      <c r="B199" s="212"/>
      <c r="C199" s="5">
        <v>1400000000</v>
      </c>
      <c r="D199" s="209"/>
    </row>
    <row r="200" spans="1:4" s="194" customFormat="1" ht="18" customHeight="1" x14ac:dyDescent="0.25">
      <c r="A200" s="206" t="s">
        <v>399</v>
      </c>
      <c r="B200" s="127">
        <f>B201+B204+B206</f>
        <v>1</v>
      </c>
      <c r="C200" s="2">
        <f>C201+C204+C206</f>
        <v>445263000</v>
      </c>
      <c r="D200" s="128"/>
    </row>
    <row r="201" spans="1:4" s="194" customFormat="1" ht="18" customHeight="1" x14ac:dyDescent="0.25">
      <c r="A201" s="206" t="s">
        <v>13</v>
      </c>
      <c r="B201" s="1"/>
      <c r="C201" s="2">
        <f>SUM(C202:C203)</f>
        <v>255563000</v>
      </c>
      <c r="D201" s="128"/>
    </row>
    <row r="202" spans="1:4" s="194" customFormat="1" ht="18" customHeight="1" x14ac:dyDescent="0.25">
      <c r="A202" s="3" t="s">
        <v>389</v>
      </c>
      <c r="B202" s="1"/>
      <c r="C202" s="5">
        <v>247139000</v>
      </c>
      <c r="D202" s="128"/>
    </row>
    <row r="203" spans="1:4" s="194" customFormat="1" ht="18" customHeight="1" x14ac:dyDescent="0.25">
      <c r="A203" s="3" t="s">
        <v>14</v>
      </c>
      <c r="B203" s="1"/>
      <c r="C203" s="5">
        <f>0.3*2340000*12</f>
        <v>8424000</v>
      </c>
      <c r="D203" s="128"/>
    </row>
    <row r="204" spans="1:4" s="196" customFormat="1" ht="17.100000000000001" customHeight="1" x14ac:dyDescent="0.25">
      <c r="A204" s="206" t="s">
        <v>16</v>
      </c>
      <c r="B204" s="216">
        <f>SUM(B205:B205)</f>
        <v>1</v>
      </c>
      <c r="C204" s="208">
        <f>SUM(C205:C205)</f>
        <v>29700000</v>
      </c>
      <c r="D204" s="213"/>
    </row>
    <row r="205" spans="1:4" s="196" customFormat="1" ht="17.100000000000001" customHeight="1" x14ac:dyDescent="0.25">
      <c r="A205" s="3" t="s">
        <v>68</v>
      </c>
      <c r="B205" s="212">
        <v>1</v>
      </c>
      <c r="C205" s="5">
        <f>B205*29700000</f>
        <v>29700000</v>
      </c>
      <c r="D205" s="213"/>
    </row>
    <row r="206" spans="1:4" s="196" customFormat="1" ht="17.100000000000001" customHeight="1" x14ac:dyDescent="0.25">
      <c r="A206" s="206" t="s">
        <v>18</v>
      </c>
      <c r="B206" s="212"/>
      <c r="C206" s="208">
        <f>SUM(C207:C207)</f>
        <v>160000000</v>
      </c>
      <c r="D206" s="213"/>
    </row>
    <row r="207" spans="1:4" s="196" customFormat="1" ht="74.099999999999994" customHeight="1" x14ac:dyDescent="0.25">
      <c r="A207" s="219" t="s">
        <v>400</v>
      </c>
      <c r="B207" s="212"/>
      <c r="C207" s="5">
        <v>160000000</v>
      </c>
      <c r="D207" s="213"/>
    </row>
    <row r="208" spans="1:4" s="194" customFormat="1" ht="18" customHeight="1" x14ac:dyDescent="0.25">
      <c r="A208" s="206" t="s">
        <v>372</v>
      </c>
      <c r="B208" s="127">
        <f>B209+B211+B213</f>
        <v>3</v>
      </c>
      <c r="C208" s="2">
        <f>C209+C211+C213</f>
        <v>2112443000</v>
      </c>
      <c r="D208" s="128"/>
    </row>
    <row r="209" spans="1:4" s="194" customFormat="1" ht="18" customHeight="1" x14ac:dyDescent="0.25">
      <c r="A209" s="206" t="s">
        <v>13</v>
      </c>
      <c r="B209" s="1"/>
      <c r="C209" s="2">
        <f>SUM(C210:C210)</f>
        <v>650943000</v>
      </c>
      <c r="D209" s="128"/>
    </row>
    <row r="210" spans="1:4" s="196" customFormat="1" ht="18" customHeight="1" x14ac:dyDescent="0.25">
      <c r="A210" s="3" t="s">
        <v>389</v>
      </c>
      <c r="B210" s="212"/>
      <c r="C210" s="5">
        <v>650943000</v>
      </c>
      <c r="D210" s="213"/>
    </row>
    <row r="211" spans="1:4" s="196" customFormat="1" ht="17.100000000000001" customHeight="1" x14ac:dyDescent="0.25">
      <c r="A211" s="206" t="s">
        <v>16</v>
      </c>
      <c r="B211" s="216">
        <f>SUM(B212:B212)</f>
        <v>3</v>
      </c>
      <c r="C211" s="208">
        <f>SUM(C212:C212)</f>
        <v>89100000</v>
      </c>
      <c r="D211" s="213"/>
    </row>
    <row r="212" spans="1:4" s="196" customFormat="1" ht="17.100000000000001" customHeight="1" x14ac:dyDescent="0.25">
      <c r="A212" s="3" t="s">
        <v>17</v>
      </c>
      <c r="B212" s="212">
        <v>3</v>
      </c>
      <c r="C212" s="5">
        <f>B212*29700000</f>
        <v>89100000</v>
      </c>
      <c r="D212" s="213"/>
    </row>
    <row r="213" spans="1:4" s="196" customFormat="1" ht="17.100000000000001" customHeight="1" x14ac:dyDescent="0.25">
      <c r="A213" s="206" t="s">
        <v>18</v>
      </c>
      <c r="B213" s="207"/>
      <c r="C213" s="208">
        <f>SUM(C214:C220)</f>
        <v>1372400000</v>
      </c>
      <c r="D213" s="213"/>
    </row>
    <row r="214" spans="1:4" s="196" customFormat="1" ht="17.100000000000001" customHeight="1" x14ac:dyDescent="0.25">
      <c r="A214" s="3" t="s">
        <v>401</v>
      </c>
      <c r="B214" s="212"/>
      <c r="C214" s="5">
        <v>30000000</v>
      </c>
      <c r="D214" s="213"/>
    </row>
    <row r="215" spans="1:4" s="196" customFormat="1" ht="17.100000000000001" customHeight="1" x14ac:dyDescent="0.25">
      <c r="A215" s="3" t="s">
        <v>69</v>
      </c>
      <c r="B215" s="212"/>
      <c r="C215" s="5">
        <v>50000000</v>
      </c>
      <c r="D215" s="213"/>
    </row>
    <row r="216" spans="1:4" s="196" customFormat="1" ht="17.100000000000001" customHeight="1" x14ac:dyDescent="0.25">
      <c r="A216" s="3" t="s">
        <v>402</v>
      </c>
      <c r="B216" s="212"/>
      <c r="C216" s="5">
        <v>8000000</v>
      </c>
      <c r="D216" s="213"/>
    </row>
    <row r="217" spans="1:4" s="196" customFormat="1" ht="17.100000000000001" customHeight="1" x14ac:dyDescent="0.25">
      <c r="A217" s="3" t="s">
        <v>403</v>
      </c>
      <c r="B217" s="212"/>
      <c r="C217" s="5">
        <v>20000000</v>
      </c>
      <c r="D217" s="213"/>
    </row>
    <row r="218" spans="1:4" s="194" customFormat="1" ht="31.15" customHeight="1" x14ac:dyDescent="0.25">
      <c r="A218" s="3" t="s">
        <v>578</v>
      </c>
      <c r="B218" s="212"/>
      <c r="C218" s="5">
        <f>1200000*12</f>
        <v>14400000</v>
      </c>
      <c r="D218" s="213"/>
    </row>
    <row r="219" spans="1:4" s="194" customFormat="1" ht="20.100000000000001" customHeight="1" x14ac:dyDescent="0.25">
      <c r="A219" s="3" t="s">
        <v>581</v>
      </c>
      <c r="B219" s="212"/>
      <c r="C219" s="5">
        <v>250000000</v>
      </c>
      <c r="D219" s="213"/>
    </row>
    <row r="220" spans="1:4" s="196" customFormat="1" ht="17.100000000000001" customHeight="1" x14ac:dyDescent="0.25">
      <c r="A220" s="3" t="s">
        <v>405</v>
      </c>
      <c r="B220" s="212"/>
      <c r="C220" s="5">
        <v>1000000000</v>
      </c>
      <c r="D220" s="213"/>
    </row>
    <row r="221" spans="1:4" s="194" customFormat="1" ht="17.649999999999999" customHeight="1" x14ac:dyDescent="0.25">
      <c r="A221" s="206" t="s">
        <v>373</v>
      </c>
      <c r="B221" s="1">
        <v>4</v>
      </c>
      <c r="C221" s="2">
        <f>C222+C226</f>
        <v>1397673000</v>
      </c>
      <c r="D221" s="128"/>
    </row>
    <row r="222" spans="1:4" s="194" customFormat="1" ht="17.649999999999999" customHeight="1" x14ac:dyDescent="0.25">
      <c r="A222" s="206" t="s">
        <v>13</v>
      </c>
      <c r="B222" s="1"/>
      <c r="C222" s="2">
        <f>SUM(C223:C225)</f>
        <v>1278873000</v>
      </c>
      <c r="D222" s="128"/>
    </row>
    <row r="223" spans="1:4" s="196" customFormat="1" ht="17.649999999999999" customHeight="1" x14ac:dyDescent="0.25">
      <c r="A223" s="3" t="s">
        <v>389</v>
      </c>
      <c r="B223" s="212"/>
      <c r="C223" s="5">
        <v>1260449000</v>
      </c>
      <c r="D223" s="213"/>
    </row>
    <row r="224" spans="1:4" s="196" customFormat="1" ht="17.649999999999999" customHeight="1" x14ac:dyDescent="0.25">
      <c r="A224" s="3" t="s">
        <v>14</v>
      </c>
      <c r="B224" s="212"/>
      <c r="C224" s="5">
        <f>0.3*2340000*12</f>
        <v>8424000</v>
      </c>
      <c r="D224" s="213"/>
    </row>
    <row r="225" spans="1:4" s="196" customFormat="1" ht="17.649999999999999" customHeight="1" x14ac:dyDescent="0.25">
      <c r="A225" s="3" t="s">
        <v>60</v>
      </c>
      <c r="B225" s="212"/>
      <c r="C225" s="5">
        <v>10000000</v>
      </c>
      <c r="D225" s="213"/>
    </row>
    <row r="226" spans="1:4" s="196" customFormat="1" ht="17.649999999999999" customHeight="1" x14ac:dyDescent="0.25">
      <c r="A226" s="206" t="s">
        <v>16</v>
      </c>
      <c r="B226" s="207"/>
      <c r="C226" s="208">
        <f>SUM(C227:C227)</f>
        <v>118800000</v>
      </c>
      <c r="D226" s="213"/>
    </row>
    <row r="227" spans="1:4" s="196" customFormat="1" ht="17.649999999999999" customHeight="1" x14ac:dyDescent="0.25">
      <c r="A227" s="3" t="s">
        <v>68</v>
      </c>
      <c r="B227" s="212">
        <v>4</v>
      </c>
      <c r="C227" s="5">
        <f>B227*29700000</f>
        <v>118800000</v>
      </c>
      <c r="D227" s="213"/>
    </row>
    <row r="228" spans="1:4" s="194" customFormat="1" ht="16.5" customHeight="1" x14ac:dyDescent="0.25">
      <c r="A228" s="206" t="s">
        <v>374</v>
      </c>
      <c r="B228" s="1">
        <v>5</v>
      </c>
      <c r="C228" s="2">
        <f>C229+C232+C234</f>
        <v>10537916000</v>
      </c>
      <c r="D228" s="128"/>
    </row>
    <row r="229" spans="1:4" s="194" customFormat="1" ht="18.600000000000001" customHeight="1" x14ac:dyDescent="0.25">
      <c r="A229" s="206" t="s">
        <v>13</v>
      </c>
      <c r="B229" s="1"/>
      <c r="C229" s="2">
        <f>SUM(C230:C231)</f>
        <v>1094016000</v>
      </c>
      <c r="D229" s="128"/>
    </row>
    <row r="230" spans="1:4" s="196" customFormat="1" ht="18.600000000000001" customHeight="1" x14ac:dyDescent="0.25">
      <c r="A230" s="3" t="s">
        <v>389</v>
      </c>
      <c r="B230" s="212"/>
      <c r="C230" s="5">
        <v>1082016000</v>
      </c>
      <c r="D230" s="213"/>
    </row>
    <row r="231" spans="1:4" s="196" customFormat="1" ht="18.600000000000001" customHeight="1" x14ac:dyDescent="0.25">
      <c r="A231" s="3" t="s">
        <v>60</v>
      </c>
      <c r="B231" s="212"/>
      <c r="C231" s="5">
        <v>12000000</v>
      </c>
      <c r="D231" s="213"/>
    </row>
    <row r="232" spans="1:4" s="196" customFormat="1" ht="18.600000000000001" customHeight="1" x14ac:dyDescent="0.25">
      <c r="A232" s="206" t="s">
        <v>16</v>
      </c>
      <c r="B232" s="207"/>
      <c r="C232" s="208">
        <f>SUM(C233:C233)</f>
        <v>148500000</v>
      </c>
      <c r="D232" s="213"/>
    </row>
    <row r="233" spans="1:4" s="196" customFormat="1" ht="18.600000000000001" customHeight="1" x14ac:dyDescent="0.25">
      <c r="A233" s="3" t="s">
        <v>68</v>
      </c>
      <c r="B233" s="212">
        <v>5</v>
      </c>
      <c r="C233" s="5">
        <f>B233*29700000</f>
        <v>148500000</v>
      </c>
      <c r="D233" s="213"/>
    </row>
    <row r="234" spans="1:4" s="194" customFormat="1" ht="19.5" customHeight="1" x14ac:dyDescent="0.25">
      <c r="A234" s="206" t="s">
        <v>18</v>
      </c>
      <c r="B234" s="207"/>
      <c r="C234" s="208">
        <f>SUM(C235:C241)</f>
        <v>9295400000</v>
      </c>
      <c r="D234" s="213"/>
    </row>
    <row r="235" spans="1:4" s="194" customFormat="1" ht="36" customHeight="1" x14ac:dyDescent="0.25">
      <c r="A235" s="3" t="s">
        <v>436</v>
      </c>
      <c r="B235" s="212"/>
      <c r="C235" s="5">
        <v>150000000</v>
      </c>
      <c r="D235" s="213"/>
    </row>
    <row r="236" spans="1:4" s="194" customFormat="1" ht="62.65" customHeight="1" x14ac:dyDescent="0.25">
      <c r="A236" s="3" t="s">
        <v>437</v>
      </c>
      <c r="B236" s="212"/>
      <c r="C236" s="5">
        <v>110000000</v>
      </c>
      <c r="D236" s="213"/>
    </row>
    <row r="237" spans="1:4" s="194" customFormat="1" ht="60" customHeight="1" x14ac:dyDescent="0.25">
      <c r="A237" s="3" t="s">
        <v>438</v>
      </c>
      <c r="B237" s="212"/>
      <c r="C237" s="5">
        <v>110000000</v>
      </c>
      <c r="D237" s="213"/>
    </row>
    <row r="238" spans="1:4" s="194" customFormat="1" ht="30" customHeight="1" x14ac:dyDescent="0.25">
      <c r="A238" s="3" t="s">
        <v>578</v>
      </c>
      <c r="B238" s="212"/>
      <c r="C238" s="5">
        <f>1200000*12</f>
        <v>14400000</v>
      </c>
      <c r="D238" s="213"/>
    </row>
    <row r="239" spans="1:4" s="194" customFormat="1" ht="34.15" customHeight="1" x14ac:dyDescent="0.25">
      <c r="A239" s="3" t="s">
        <v>439</v>
      </c>
      <c r="B239" s="212"/>
      <c r="C239" s="5">
        <v>100000000</v>
      </c>
      <c r="D239" s="279" t="s">
        <v>404</v>
      </c>
    </row>
    <row r="240" spans="1:4" s="194" customFormat="1" ht="20.65" customHeight="1" x14ac:dyDescent="0.25">
      <c r="A240" s="3" t="s">
        <v>106</v>
      </c>
      <c r="B240" s="212"/>
      <c r="C240" s="5">
        <f>8439000000+289000000</f>
        <v>8728000000</v>
      </c>
      <c r="D240" s="280"/>
    </row>
    <row r="241" spans="1:4" s="194" customFormat="1" ht="30" customHeight="1" x14ac:dyDescent="0.25">
      <c r="A241" s="3" t="s">
        <v>70</v>
      </c>
      <c r="B241" s="212"/>
      <c r="C241" s="5">
        <v>83000000</v>
      </c>
      <c r="D241" s="281"/>
    </row>
    <row r="242" spans="1:4" s="196" customFormat="1" ht="18" customHeight="1" x14ac:dyDescent="0.25">
      <c r="A242" s="206" t="s">
        <v>407</v>
      </c>
      <c r="B242" s="127">
        <f>B243+B247+B249</f>
        <v>3</v>
      </c>
      <c r="C242" s="2">
        <f>C243+C247+C249</f>
        <v>877434000</v>
      </c>
      <c r="D242" s="128"/>
    </row>
    <row r="243" spans="1:4" s="196" customFormat="1" ht="18" customHeight="1" x14ac:dyDescent="0.25">
      <c r="A243" s="206" t="s">
        <v>13</v>
      </c>
      <c r="B243" s="1"/>
      <c r="C243" s="2">
        <f>SUM(C244:C246)</f>
        <v>674934000</v>
      </c>
      <c r="D243" s="128"/>
    </row>
    <row r="244" spans="1:4" s="196" customFormat="1" ht="18" customHeight="1" x14ac:dyDescent="0.25">
      <c r="A244" s="3" t="s">
        <v>389</v>
      </c>
      <c r="B244" s="212"/>
      <c r="C244" s="5">
        <v>656510000</v>
      </c>
      <c r="D244" s="213"/>
    </row>
    <row r="245" spans="1:4" s="196" customFormat="1" ht="18" customHeight="1" x14ac:dyDescent="0.25">
      <c r="A245" s="3" t="s">
        <v>14</v>
      </c>
      <c r="B245" s="212"/>
      <c r="C245" s="5">
        <f>0.3*2340000*12</f>
        <v>8424000</v>
      </c>
      <c r="D245" s="213"/>
    </row>
    <row r="246" spans="1:4" s="196" customFormat="1" ht="18" customHeight="1" x14ac:dyDescent="0.25">
      <c r="A246" s="3" t="s">
        <v>60</v>
      </c>
      <c r="B246" s="212"/>
      <c r="C246" s="5">
        <v>10000000</v>
      </c>
      <c r="D246" s="213"/>
    </row>
    <row r="247" spans="1:4" s="196" customFormat="1" ht="17.649999999999999" customHeight="1" x14ac:dyDescent="0.25">
      <c r="A247" s="206" t="s">
        <v>16</v>
      </c>
      <c r="B247" s="216">
        <f>B248</f>
        <v>3</v>
      </c>
      <c r="C247" s="208">
        <f>C248</f>
        <v>89100000</v>
      </c>
      <c r="D247" s="213"/>
    </row>
    <row r="248" spans="1:4" s="196" customFormat="1" ht="17.649999999999999" customHeight="1" x14ac:dyDescent="0.25">
      <c r="A248" s="3" t="s">
        <v>17</v>
      </c>
      <c r="B248" s="212">
        <v>3</v>
      </c>
      <c r="C248" s="5">
        <f>B248*29700000</f>
        <v>89100000</v>
      </c>
      <c r="D248" s="213"/>
    </row>
    <row r="249" spans="1:4" s="196" customFormat="1" ht="17.649999999999999" customHeight="1" x14ac:dyDescent="0.25">
      <c r="A249" s="206" t="s">
        <v>18</v>
      </c>
      <c r="B249" s="207"/>
      <c r="C249" s="208">
        <f>SUM(C250:C252)</f>
        <v>113400000</v>
      </c>
      <c r="D249" s="213"/>
    </row>
    <row r="250" spans="1:4" s="196" customFormat="1" ht="19.149999999999999" customHeight="1" x14ac:dyDescent="0.25">
      <c r="A250" s="211" t="s">
        <v>406</v>
      </c>
      <c r="B250" s="212"/>
      <c r="C250" s="5">
        <v>90000000</v>
      </c>
      <c r="D250" s="213"/>
    </row>
    <row r="251" spans="1:4" s="194" customFormat="1" ht="30" customHeight="1" x14ac:dyDescent="0.25">
      <c r="A251" s="3" t="s">
        <v>578</v>
      </c>
      <c r="B251" s="212"/>
      <c r="C251" s="5">
        <f>1200000*12</f>
        <v>14400000</v>
      </c>
      <c r="D251" s="213"/>
    </row>
    <row r="252" spans="1:4" s="196" customFormat="1" ht="19.149999999999999" customHeight="1" x14ac:dyDescent="0.25">
      <c r="A252" s="211" t="s">
        <v>433</v>
      </c>
      <c r="B252" s="212"/>
      <c r="C252" s="5">
        <v>9000000</v>
      </c>
      <c r="D252" s="213"/>
    </row>
    <row r="253" spans="1:4" s="196" customFormat="1" ht="18" customHeight="1" x14ac:dyDescent="0.25">
      <c r="A253" s="206" t="s">
        <v>408</v>
      </c>
      <c r="B253" s="127">
        <f>B254+B257+B259</f>
        <v>3</v>
      </c>
      <c r="C253" s="2">
        <f>C254+C257+C259</f>
        <v>2268275000</v>
      </c>
      <c r="D253" s="128"/>
    </row>
    <row r="254" spans="1:4" s="196" customFormat="1" ht="18" customHeight="1" x14ac:dyDescent="0.25">
      <c r="A254" s="206" t="s">
        <v>13</v>
      </c>
      <c r="B254" s="1"/>
      <c r="C254" s="2">
        <f>SUM(C255:C256)</f>
        <v>629175000</v>
      </c>
      <c r="D254" s="128"/>
    </row>
    <row r="255" spans="1:4" s="194" customFormat="1" ht="18" customHeight="1" x14ac:dyDescent="0.25">
      <c r="A255" s="3" t="s">
        <v>389</v>
      </c>
      <c r="B255" s="212"/>
      <c r="C255" s="5">
        <v>620751000</v>
      </c>
      <c r="D255" s="213"/>
    </row>
    <row r="256" spans="1:4" s="194" customFormat="1" ht="18" customHeight="1" x14ac:dyDescent="0.25">
      <c r="A256" s="3" t="s">
        <v>14</v>
      </c>
      <c r="B256" s="212"/>
      <c r="C256" s="5">
        <f>0.3*2340000*12</f>
        <v>8424000</v>
      </c>
      <c r="D256" s="213"/>
    </row>
    <row r="257" spans="1:4" s="196" customFormat="1" ht="18" customHeight="1" x14ac:dyDescent="0.25">
      <c r="A257" s="206" t="s">
        <v>16</v>
      </c>
      <c r="B257" s="216">
        <f>SUM(B258:B258)</f>
        <v>3</v>
      </c>
      <c r="C257" s="208">
        <f>SUM(C258:C258)</f>
        <v>89100000</v>
      </c>
      <c r="D257" s="213"/>
    </row>
    <row r="258" spans="1:4" s="194" customFormat="1" ht="18" customHeight="1" x14ac:dyDescent="0.25">
      <c r="A258" s="3" t="s">
        <v>17</v>
      </c>
      <c r="B258" s="212">
        <v>3</v>
      </c>
      <c r="C258" s="5">
        <f>B258*29700000</f>
        <v>89100000</v>
      </c>
      <c r="D258" s="213"/>
    </row>
    <row r="259" spans="1:4" s="194" customFormat="1" ht="18" customHeight="1" x14ac:dyDescent="0.25">
      <c r="A259" s="206" t="s">
        <v>18</v>
      </c>
      <c r="B259" s="207"/>
      <c r="C259" s="208">
        <f>SUM(C260:C262)</f>
        <v>1550000000</v>
      </c>
      <c r="D259" s="213"/>
    </row>
    <row r="260" spans="1:4" s="194" customFormat="1" ht="33" customHeight="1" x14ac:dyDescent="0.25">
      <c r="A260" s="220" t="s">
        <v>88</v>
      </c>
      <c r="B260" s="212"/>
      <c r="C260" s="5">
        <v>115000000</v>
      </c>
      <c r="D260" s="213"/>
    </row>
    <row r="261" spans="1:4" s="194" customFormat="1" ht="21.6" customHeight="1" x14ac:dyDescent="0.25">
      <c r="A261" s="220" t="s">
        <v>483</v>
      </c>
      <c r="B261" s="212"/>
      <c r="C261" s="5">
        <v>408000000</v>
      </c>
      <c r="D261" s="279" t="s">
        <v>404</v>
      </c>
    </row>
    <row r="262" spans="1:4" s="194" customFormat="1" ht="46.15" customHeight="1" x14ac:dyDescent="0.25">
      <c r="A262" s="220" t="s">
        <v>108</v>
      </c>
      <c r="B262" s="212"/>
      <c r="C262" s="5">
        <f>1012000000+15000000</f>
        <v>1027000000</v>
      </c>
      <c r="D262" s="281"/>
    </row>
    <row r="263" spans="1:4" s="194" customFormat="1" ht="17.649999999999999" customHeight="1" x14ac:dyDescent="0.25">
      <c r="A263" s="206" t="s">
        <v>413</v>
      </c>
      <c r="B263" s="127">
        <f>B264+B276+B303</f>
        <v>15</v>
      </c>
      <c r="C263" s="2">
        <f>C264+C276+C303</f>
        <v>8197685000</v>
      </c>
      <c r="D263" s="128"/>
    </row>
    <row r="264" spans="1:4" s="194" customFormat="1" ht="16.5" customHeight="1" x14ac:dyDescent="0.25">
      <c r="A264" s="206" t="s">
        <v>71</v>
      </c>
      <c r="B264" s="127">
        <f>B265+B268+B270</f>
        <v>3</v>
      </c>
      <c r="C264" s="2">
        <f>C265+C268+C270</f>
        <v>1688107000</v>
      </c>
      <c r="D264" s="128"/>
    </row>
    <row r="265" spans="1:4" s="194" customFormat="1" ht="16.5" customHeight="1" x14ac:dyDescent="0.25">
      <c r="A265" s="206" t="s">
        <v>13</v>
      </c>
      <c r="B265" s="1"/>
      <c r="C265" s="2">
        <f>SUM(C266:C267)</f>
        <v>983269000</v>
      </c>
      <c r="D265" s="128"/>
    </row>
    <row r="266" spans="1:4" s="196" customFormat="1" ht="16.5" customHeight="1" x14ac:dyDescent="0.25">
      <c r="A266" s="3" t="s">
        <v>389</v>
      </c>
      <c r="B266" s="212"/>
      <c r="C266" s="5">
        <v>659269000</v>
      </c>
      <c r="D266" s="213"/>
    </row>
    <row r="267" spans="1:4" s="196" customFormat="1" ht="16.5" customHeight="1" x14ac:dyDescent="0.25">
      <c r="A267" s="3" t="s">
        <v>414</v>
      </c>
      <c r="B267" s="212"/>
      <c r="C267" s="5">
        <v>324000000</v>
      </c>
      <c r="D267" s="213"/>
    </row>
    <row r="268" spans="1:4" s="196" customFormat="1" ht="16.5" customHeight="1" x14ac:dyDescent="0.25">
      <c r="A268" s="206" t="s">
        <v>16</v>
      </c>
      <c r="B268" s="216">
        <f>B269</f>
        <v>3</v>
      </c>
      <c r="C268" s="208">
        <f>C269</f>
        <v>89100000</v>
      </c>
      <c r="D268" s="213"/>
    </row>
    <row r="269" spans="1:4" s="194" customFormat="1" ht="16.5" customHeight="1" x14ac:dyDescent="0.25">
      <c r="A269" s="3" t="s">
        <v>17</v>
      </c>
      <c r="B269" s="212">
        <v>3</v>
      </c>
      <c r="C269" s="5">
        <f>B269*29700000</f>
        <v>89100000</v>
      </c>
      <c r="D269" s="213"/>
    </row>
    <row r="270" spans="1:4" s="196" customFormat="1" ht="16.5" customHeight="1" x14ac:dyDescent="0.25">
      <c r="A270" s="206" t="s">
        <v>18</v>
      </c>
      <c r="B270" s="207"/>
      <c r="C270" s="208">
        <f>SUM(C271:C275)</f>
        <v>615738000</v>
      </c>
      <c r="D270" s="213"/>
    </row>
    <row r="271" spans="1:4" s="196" customFormat="1" ht="16.5" customHeight="1" x14ac:dyDescent="0.25">
      <c r="A271" s="211" t="s">
        <v>72</v>
      </c>
      <c r="B271" s="212"/>
      <c r="C271" s="5">
        <v>400000000</v>
      </c>
      <c r="D271" s="213"/>
    </row>
    <row r="272" spans="1:4" s="194" customFormat="1" ht="16.5" customHeight="1" x14ac:dyDescent="0.25">
      <c r="A272" s="211" t="s">
        <v>73</v>
      </c>
      <c r="B272" s="212"/>
      <c r="C272" s="5">
        <v>50000000</v>
      </c>
      <c r="D272" s="213"/>
    </row>
    <row r="273" spans="1:4" s="194" customFormat="1" ht="15.6" customHeight="1" x14ac:dyDescent="0.25">
      <c r="A273" s="3" t="s">
        <v>74</v>
      </c>
      <c r="B273" s="212"/>
      <c r="C273" s="5">
        <v>5738000</v>
      </c>
      <c r="D273" s="213"/>
    </row>
    <row r="274" spans="1:4" s="194" customFormat="1" ht="18" customHeight="1" x14ac:dyDescent="0.25">
      <c r="A274" s="3" t="s">
        <v>45</v>
      </c>
      <c r="B274" s="212"/>
      <c r="C274" s="5">
        <v>100000000</v>
      </c>
      <c r="D274" s="213"/>
    </row>
    <row r="275" spans="1:4" s="194" customFormat="1" ht="30.6" customHeight="1" x14ac:dyDescent="0.25">
      <c r="A275" s="3" t="s">
        <v>75</v>
      </c>
      <c r="B275" s="212"/>
      <c r="C275" s="5">
        <v>60000000</v>
      </c>
      <c r="D275" s="213"/>
    </row>
    <row r="276" spans="1:4" s="194" customFormat="1" ht="17.100000000000001" customHeight="1" x14ac:dyDescent="0.25">
      <c r="A276" s="206" t="s">
        <v>76</v>
      </c>
      <c r="B276" s="127">
        <f>B277+B279+B281</f>
        <v>3</v>
      </c>
      <c r="C276" s="2">
        <f>C277+C279+C281</f>
        <v>3852332000</v>
      </c>
      <c r="D276" s="128"/>
    </row>
    <row r="277" spans="1:4" s="194" customFormat="1" ht="17.100000000000001" customHeight="1" x14ac:dyDescent="0.25">
      <c r="A277" s="206" t="s">
        <v>13</v>
      </c>
      <c r="B277" s="1"/>
      <c r="C277" s="2">
        <f>SUM(C278:C278)</f>
        <v>693632000</v>
      </c>
      <c r="D277" s="128"/>
    </row>
    <row r="278" spans="1:4" s="196" customFormat="1" ht="17.100000000000001" customHeight="1" x14ac:dyDescent="0.25">
      <c r="A278" s="3" t="s">
        <v>389</v>
      </c>
      <c r="B278" s="212"/>
      <c r="C278" s="5">
        <v>693632000</v>
      </c>
      <c r="D278" s="213"/>
    </row>
    <row r="279" spans="1:4" s="196" customFormat="1" ht="17.100000000000001" customHeight="1" x14ac:dyDescent="0.25">
      <c r="A279" s="206" t="s">
        <v>16</v>
      </c>
      <c r="B279" s="216">
        <f>SUM(B280:B280)</f>
        <v>3</v>
      </c>
      <c r="C279" s="208">
        <f>SUM(C280:C280)</f>
        <v>89100000</v>
      </c>
      <c r="D279" s="213"/>
    </row>
    <row r="280" spans="1:4" s="196" customFormat="1" ht="17.100000000000001" customHeight="1" x14ac:dyDescent="0.25">
      <c r="A280" s="3" t="s">
        <v>17</v>
      </c>
      <c r="B280" s="212">
        <v>3</v>
      </c>
      <c r="C280" s="5">
        <f>B280*29700000</f>
        <v>89100000</v>
      </c>
      <c r="D280" s="213"/>
    </row>
    <row r="281" spans="1:4" s="194" customFormat="1" ht="17.100000000000001" customHeight="1" x14ac:dyDescent="0.25">
      <c r="A281" s="206" t="s">
        <v>18</v>
      </c>
      <c r="B281" s="207"/>
      <c r="C281" s="208">
        <f>SUM(C282:C302)</f>
        <v>3069600000</v>
      </c>
      <c r="D281" s="213"/>
    </row>
    <row r="282" spans="1:4" s="194" customFormat="1" ht="17.100000000000001" customHeight="1" x14ac:dyDescent="0.25">
      <c r="A282" s="3" t="s">
        <v>74</v>
      </c>
      <c r="B282" s="207"/>
      <c r="C282" s="5">
        <v>14600000</v>
      </c>
      <c r="D282" s="213"/>
    </row>
    <row r="283" spans="1:4" s="194" customFormat="1" ht="16.149999999999999" customHeight="1" x14ac:dyDescent="0.25">
      <c r="A283" s="3" t="s">
        <v>440</v>
      </c>
      <c r="B283" s="207"/>
      <c r="C283" s="5">
        <v>700000000</v>
      </c>
      <c r="D283" s="213"/>
    </row>
    <row r="284" spans="1:4" s="194" customFormat="1" ht="16.149999999999999" customHeight="1" x14ac:dyDescent="0.25">
      <c r="A284" s="3" t="s">
        <v>77</v>
      </c>
      <c r="B284" s="207"/>
      <c r="C284" s="5">
        <v>30000000</v>
      </c>
      <c r="D284" s="213"/>
    </row>
    <row r="285" spans="1:4" s="194" customFormat="1" ht="16.149999999999999" customHeight="1" x14ac:dyDescent="0.25">
      <c r="A285" s="3" t="s">
        <v>78</v>
      </c>
      <c r="B285" s="207"/>
      <c r="C285" s="5">
        <v>100000000</v>
      </c>
      <c r="D285" s="213"/>
    </row>
    <row r="286" spans="1:4" s="194" customFormat="1" ht="16.149999999999999" customHeight="1" x14ac:dyDescent="0.25">
      <c r="A286" s="3" t="s">
        <v>79</v>
      </c>
      <c r="B286" s="207"/>
      <c r="C286" s="5">
        <v>350000000</v>
      </c>
      <c r="D286" s="213"/>
    </row>
    <row r="287" spans="1:4" s="194" customFormat="1" ht="16.149999999999999" customHeight="1" x14ac:dyDescent="0.25">
      <c r="A287" s="3" t="s">
        <v>441</v>
      </c>
      <c r="B287" s="207"/>
      <c r="C287" s="5">
        <v>150000000</v>
      </c>
      <c r="D287" s="213"/>
    </row>
    <row r="288" spans="1:4" s="194" customFormat="1" ht="48" customHeight="1" x14ac:dyDescent="0.25">
      <c r="A288" s="3" t="s">
        <v>535</v>
      </c>
      <c r="B288" s="207"/>
      <c r="C288" s="5">
        <v>200000000</v>
      </c>
      <c r="D288" s="213"/>
    </row>
    <row r="289" spans="1:4" s="194" customFormat="1" ht="33" customHeight="1" x14ac:dyDescent="0.25">
      <c r="A289" s="3" t="s">
        <v>442</v>
      </c>
      <c r="B289" s="207"/>
      <c r="C289" s="5">
        <v>100000000</v>
      </c>
      <c r="D289" s="213"/>
    </row>
    <row r="290" spans="1:4" s="194" customFormat="1" ht="18" customHeight="1" x14ac:dyDescent="0.25">
      <c r="A290" s="3" t="s">
        <v>80</v>
      </c>
      <c r="B290" s="207"/>
      <c r="C290" s="5">
        <v>35000000</v>
      </c>
      <c r="D290" s="213"/>
    </row>
    <row r="291" spans="1:4" s="194" customFormat="1" ht="30" x14ac:dyDescent="0.25">
      <c r="A291" s="3" t="s">
        <v>443</v>
      </c>
      <c r="B291" s="207"/>
      <c r="C291" s="5">
        <v>350000000</v>
      </c>
      <c r="D291" s="213"/>
    </row>
    <row r="292" spans="1:4" s="194" customFormat="1" ht="15.6" customHeight="1" x14ac:dyDescent="0.25">
      <c r="A292" s="3" t="s">
        <v>81</v>
      </c>
      <c r="B292" s="207"/>
      <c r="C292" s="5">
        <v>110000000</v>
      </c>
      <c r="D292" s="213"/>
    </row>
    <row r="293" spans="1:4" s="194" customFormat="1" ht="15.6" customHeight="1" x14ac:dyDescent="0.25">
      <c r="A293" s="3" t="s">
        <v>82</v>
      </c>
      <c r="B293" s="207"/>
      <c r="C293" s="5">
        <v>50000000</v>
      </c>
      <c r="D293" s="213"/>
    </row>
    <row r="294" spans="1:4" s="194" customFormat="1" ht="15.6" customHeight="1" x14ac:dyDescent="0.25">
      <c r="A294" s="3" t="s">
        <v>83</v>
      </c>
      <c r="B294" s="207"/>
      <c r="C294" s="5">
        <v>50000000</v>
      </c>
      <c r="D294" s="213"/>
    </row>
    <row r="295" spans="1:4" s="194" customFormat="1" ht="15.6" customHeight="1" x14ac:dyDescent="0.25">
      <c r="A295" s="3" t="s">
        <v>444</v>
      </c>
      <c r="B295" s="207"/>
      <c r="C295" s="5">
        <v>35000000</v>
      </c>
      <c r="D295" s="213"/>
    </row>
    <row r="296" spans="1:4" s="194" customFormat="1" ht="15.6" customHeight="1" x14ac:dyDescent="0.25">
      <c r="A296" s="3" t="s">
        <v>84</v>
      </c>
      <c r="B296" s="207"/>
      <c r="C296" s="5">
        <v>15000000</v>
      </c>
      <c r="D296" s="213"/>
    </row>
    <row r="297" spans="1:4" s="194" customFormat="1" ht="15.6" customHeight="1" x14ac:dyDescent="0.25">
      <c r="A297" s="3" t="s">
        <v>85</v>
      </c>
      <c r="B297" s="207"/>
      <c r="C297" s="5">
        <v>60000000</v>
      </c>
      <c r="D297" s="213"/>
    </row>
    <row r="298" spans="1:4" s="194" customFormat="1" ht="15.6" customHeight="1" x14ac:dyDescent="0.25">
      <c r="A298" s="3" t="s">
        <v>57</v>
      </c>
      <c r="B298" s="207"/>
      <c r="C298" s="5">
        <v>200000000</v>
      </c>
      <c r="D298" s="213"/>
    </row>
    <row r="299" spans="1:4" s="194" customFormat="1" ht="18" customHeight="1" x14ac:dyDescent="0.25">
      <c r="A299" s="3" t="s">
        <v>576</v>
      </c>
      <c r="B299" s="207"/>
      <c r="C299" s="5">
        <v>160000000</v>
      </c>
      <c r="D299" s="213"/>
    </row>
    <row r="300" spans="1:4" s="194" customFormat="1" ht="15.6" customHeight="1" x14ac:dyDescent="0.25">
      <c r="A300" s="3" t="s">
        <v>445</v>
      </c>
      <c r="B300" s="207"/>
      <c r="C300" s="5">
        <v>60000000</v>
      </c>
      <c r="D300" s="213"/>
    </row>
    <row r="301" spans="1:4" s="194" customFormat="1" ht="15.6" customHeight="1" x14ac:dyDescent="0.25">
      <c r="A301" s="3" t="s">
        <v>446</v>
      </c>
      <c r="B301" s="207"/>
      <c r="C301" s="5">
        <v>100000000</v>
      </c>
      <c r="D301" s="213"/>
    </row>
    <row r="302" spans="1:4" s="194" customFormat="1" ht="30" x14ac:dyDescent="0.25">
      <c r="A302" s="3" t="s">
        <v>447</v>
      </c>
      <c r="B302" s="207"/>
      <c r="C302" s="5">
        <v>200000000</v>
      </c>
      <c r="D302" s="213"/>
    </row>
    <row r="303" spans="1:4" s="194" customFormat="1" ht="18.600000000000001" customHeight="1" x14ac:dyDescent="0.25">
      <c r="A303" s="206" t="s">
        <v>358</v>
      </c>
      <c r="B303" s="127">
        <f>B304+B308+B310</f>
        <v>9</v>
      </c>
      <c r="C303" s="2">
        <f>C304+C308+C310</f>
        <v>2657246000</v>
      </c>
      <c r="D303" s="128"/>
    </row>
    <row r="304" spans="1:4" s="194" customFormat="1" ht="18.600000000000001" customHeight="1" x14ac:dyDescent="0.25">
      <c r="A304" s="206" t="s">
        <v>13</v>
      </c>
      <c r="B304" s="1"/>
      <c r="C304" s="2">
        <f>SUM(C305:C307)</f>
        <v>2105408000</v>
      </c>
      <c r="D304" s="128"/>
    </row>
    <row r="305" spans="1:4" s="196" customFormat="1" ht="18.600000000000001" customHeight="1" x14ac:dyDescent="0.25">
      <c r="A305" s="3" t="s">
        <v>389</v>
      </c>
      <c r="B305" s="212"/>
      <c r="C305" s="5">
        <v>1448556000</v>
      </c>
      <c r="D305" s="213"/>
    </row>
    <row r="306" spans="1:4" s="196" customFormat="1" ht="18.600000000000001" customHeight="1" x14ac:dyDescent="0.25">
      <c r="A306" s="211" t="s">
        <v>86</v>
      </c>
      <c r="B306" s="212"/>
      <c r="C306" s="5">
        <v>644852000</v>
      </c>
      <c r="D306" s="213"/>
    </row>
    <row r="307" spans="1:4" s="196" customFormat="1" ht="18.600000000000001" customHeight="1" x14ac:dyDescent="0.25">
      <c r="A307" s="3" t="s">
        <v>60</v>
      </c>
      <c r="B307" s="212"/>
      <c r="C307" s="5">
        <v>12000000</v>
      </c>
      <c r="D307" s="213"/>
    </row>
    <row r="308" spans="1:4" s="196" customFormat="1" ht="18.600000000000001" customHeight="1" x14ac:dyDescent="0.25">
      <c r="A308" s="206" t="s">
        <v>16</v>
      </c>
      <c r="B308" s="127">
        <f>SUM(B309:B309)</f>
        <v>9</v>
      </c>
      <c r="C308" s="2">
        <f>SUM(C309:C309)</f>
        <v>267300000</v>
      </c>
      <c r="D308" s="213"/>
    </row>
    <row r="309" spans="1:4" s="196" customFormat="1" ht="18.600000000000001" customHeight="1" x14ac:dyDescent="0.25">
      <c r="A309" s="3" t="s">
        <v>17</v>
      </c>
      <c r="B309" s="212">
        <v>9</v>
      </c>
      <c r="C309" s="5">
        <f>B309*29700000</f>
        <v>267300000</v>
      </c>
      <c r="D309" s="213"/>
    </row>
    <row r="310" spans="1:4" s="194" customFormat="1" ht="18.600000000000001" customHeight="1" x14ac:dyDescent="0.25">
      <c r="A310" s="206" t="s">
        <v>18</v>
      </c>
      <c r="B310" s="207"/>
      <c r="C310" s="208">
        <f>SUM(C311:C314)</f>
        <v>284538000</v>
      </c>
      <c r="D310" s="213"/>
    </row>
    <row r="311" spans="1:4" s="194" customFormat="1" ht="26.65" customHeight="1" x14ac:dyDescent="0.25">
      <c r="A311" s="3" t="s">
        <v>578</v>
      </c>
      <c r="B311" s="212"/>
      <c r="C311" s="5">
        <v>28800000</v>
      </c>
      <c r="D311" s="213"/>
    </row>
    <row r="312" spans="1:4" s="194" customFormat="1" ht="17.649999999999999" customHeight="1" x14ac:dyDescent="0.25">
      <c r="A312" s="3" t="s">
        <v>567</v>
      </c>
      <c r="B312" s="212"/>
      <c r="C312" s="5">
        <v>50000000</v>
      </c>
      <c r="D312" s="213"/>
    </row>
    <row r="313" spans="1:4" s="194" customFormat="1" ht="17.649999999999999" customHeight="1" x14ac:dyDescent="0.25">
      <c r="A313" s="3" t="s">
        <v>87</v>
      </c>
      <c r="B313" s="212"/>
      <c r="C313" s="5">
        <v>200000000</v>
      </c>
      <c r="D313" s="213"/>
    </row>
    <row r="314" spans="1:4" s="194" customFormat="1" ht="17.649999999999999" customHeight="1" x14ac:dyDescent="0.25">
      <c r="A314" s="3" t="s">
        <v>74</v>
      </c>
      <c r="B314" s="212"/>
      <c r="C314" s="5">
        <v>5738000</v>
      </c>
      <c r="D314" s="213"/>
    </row>
    <row r="315" spans="1:4" s="194" customFormat="1" ht="18" customHeight="1" x14ac:dyDescent="0.25">
      <c r="A315" s="206" t="s">
        <v>89</v>
      </c>
      <c r="B315" s="127">
        <f>B316+B325+B333</f>
        <v>12</v>
      </c>
      <c r="C315" s="2">
        <f>C316+C325+C333</f>
        <v>9850268000</v>
      </c>
      <c r="D315" s="128"/>
    </row>
    <row r="316" spans="1:4" s="194" customFormat="1" ht="18" customHeight="1" x14ac:dyDescent="0.25">
      <c r="A316" s="206" t="s">
        <v>375</v>
      </c>
      <c r="B316" s="127">
        <f>B317+B320+B322</f>
        <v>12</v>
      </c>
      <c r="C316" s="2">
        <f>C317+C320+C322</f>
        <v>2056898000</v>
      </c>
      <c r="D316" s="128"/>
    </row>
    <row r="317" spans="1:4" s="194" customFormat="1" ht="18" customHeight="1" x14ac:dyDescent="0.25">
      <c r="A317" s="206" t="s">
        <v>13</v>
      </c>
      <c r="B317" s="1"/>
      <c r="C317" s="2">
        <f>SUM(C318:C319)</f>
        <v>1370498000</v>
      </c>
      <c r="D317" s="128"/>
    </row>
    <row r="318" spans="1:4" s="196" customFormat="1" ht="18" customHeight="1" x14ac:dyDescent="0.25">
      <c r="A318" s="3" t="s">
        <v>389</v>
      </c>
      <c r="B318" s="212"/>
      <c r="C318" s="5">
        <v>1353650000</v>
      </c>
      <c r="D318" s="213"/>
    </row>
    <row r="319" spans="1:4" s="196" customFormat="1" ht="18" customHeight="1" x14ac:dyDescent="0.25">
      <c r="A319" s="3" t="s">
        <v>14</v>
      </c>
      <c r="B319" s="212"/>
      <c r="C319" s="5">
        <f>0.6*2340000*12</f>
        <v>16848000</v>
      </c>
      <c r="D319" s="213"/>
    </row>
    <row r="320" spans="1:4" s="196" customFormat="1" ht="16.149999999999999" customHeight="1" x14ac:dyDescent="0.25">
      <c r="A320" s="206" t="s">
        <v>16</v>
      </c>
      <c r="B320" s="216">
        <f>SUM(B321:B321)</f>
        <v>12</v>
      </c>
      <c r="C320" s="208">
        <f>SUM(C321:C321)</f>
        <v>356400000</v>
      </c>
      <c r="D320" s="213"/>
    </row>
    <row r="321" spans="1:4" s="196" customFormat="1" ht="18" customHeight="1" x14ac:dyDescent="0.25">
      <c r="A321" s="3" t="s">
        <v>17</v>
      </c>
      <c r="B321" s="212">
        <v>12</v>
      </c>
      <c r="C321" s="5">
        <f>B321*29700000</f>
        <v>356400000</v>
      </c>
      <c r="D321" s="213"/>
    </row>
    <row r="322" spans="1:4" s="210" customFormat="1" ht="18" customHeight="1" x14ac:dyDescent="0.25">
      <c r="A322" s="206" t="s">
        <v>18</v>
      </c>
      <c r="B322" s="207"/>
      <c r="C322" s="2">
        <f>SUM(C323:C324)</f>
        <v>330000000</v>
      </c>
      <c r="D322" s="209"/>
    </row>
    <row r="323" spans="1:4" s="196" customFormat="1" ht="18" customHeight="1" x14ac:dyDescent="0.25">
      <c r="A323" s="211" t="s">
        <v>90</v>
      </c>
      <c r="B323" s="212"/>
      <c r="C323" s="5">
        <v>300000000</v>
      </c>
      <c r="D323" s="213" t="s">
        <v>415</v>
      </c>
    </row>
    <row r="324" spans="1:4" s="196" customFormat="1" ht="18" customHeight="1" x14ac:dyDescent="0.25">
      <c r="A324" s="211" t="s">
        <v>92</v>
      </c>
      <c r="B324" s="212"/>
      <c r="C324" s="5">
        <v>30000000</v>
      </c>
      <c r="D324" s="213"/>
    </row>
    <row r="325" spans="1:4" s="210" customFormat="1" ht="18" customHeight="1" x14ac:dyDescent="0.25">
      <c r="A325" s="206" t="s">
        <v>596</v>
      </c>
      <c r="B325" s="207"/>
      <c r="C325" s="2">
        <f>SUM(C326:C332)</f>
        <v>7593370000</v>
      </c>
      <c r="D325" s="209"/>
    </row>
    <row r="326" spans="1:4" s="194" customFormat="1" ht="19.5" customHeight="1" x14ac:dyDescent="0.25">
      <c r="A326" s="3" t="s">
        <v>419</v>
      </c>
      <c r="B326" s="4"/>
      <c r="C326" s="5">
        <v>100000000</v>
      </c>
      <c r="D326" s="130"/>
    </row>
    <row r="327" spans="1:4" s="196" customFormat="1" ht="18" customHeight="1" x14ac:dyDescent="0.25">
      <c r="A327" s="3" t="s">
        <v>417</v>
      </c>
      <c r="B327" s="212"/>
      <c r="C327" s="217">
        <v>400000000</v>
      </c>
      <c r="D327" s="279"/>
    </row>
    <row r="328" spans="1:4" s="196" customFormat="1" ht="32.1" customHeight="1" x14ac:dyDescent="0.25">
      <c r="A328" s="3" t="s">
        <v>95</v>
      </c>
      <c r="B328" s="212"/>
      <c r="C328" s="5">
        <v>200000000</v>
      </c>
      <c r="D328" s="281"/>
    </row>
    <row r="329" spans="1:4" s="196" customFormat="1" ht="30.6" customHeight="1" x14ac:dyDescent="0.25">
      <c r="A329" s="3" t="s">
        <v>96</v>
      </c>
      <c r="B329" s="212"/>
      <c r="C329" s="5">
        <v>1000000000</v>
      </c>
      <c r="D329" s="279" t="s">
        <v>392</v>
      </c>
    </row>
    <row r="330" spans="1:4" s="196" customFormat="1" ht="31.5" customHeight="1" x14ac:dyDescent="0.25">
      <c r="A330" s="3" t="s">
        <v>566</v>
      </c>
      <c r="B330" s="212"/>
      <c r="C330" s="217">
        <v>4000000000</v>
      </c>
      <c r="D330" s="281"/>
    </row>
    <row r="331" spans="1:4" s="194" customFormat="1" ht="19.149999999999999" customHeight="1" x14ac:dyDescent="0.25">
      <c r="A331" s="3" t="s">
        <v>93</v>
      </c>
      <c r="B331" s="212"/>
      <c r="C331" s="5">
        <f>737370000</f>
        <v>737370000</v>
      </c>
      <c r="D331" s="279" t="s">
        <v>404</v>
      </c>
    </row>
    <row r="332" spans="1:4" s="194" customFormat="1" ht="19.149999999999999" customHeight="1" x14ac:dyDescent="0.25">
      <c r="A332" s="3" t="s">
        <v>94</v>
      </c>
      <c r="B332" s="212"/>
      <c r="C332" s="5">
        <f>1156000000</f>
        <v>1156000000</v>
      </c>
      <c r="D332" s="280"/>
    </row>
    <row r="333" spans="1:4" s="194" customFormat="1" ht="19.149999999999999" customHeight="1" x14ac:dyDescent="0.25">
      <c r="A333" s="206" t="s">
        <v>418</v>
      </c>
      <c r="B333" s="1"/>
      <c r="C333" s="2">
        <f>SUM(C334:C334)</f>
        <v>200000000</v>
      </c>
      <c r="D333" s="128"/>
    </row>
    <row r="334" spans="1:4" s="194" customFormat="1" ht="33.6" customHeight="1" x14ac:dyDescent="0.25">
      <c r="A334" s="3" t="s">
        <v>598</v>
      </c>
      <c r="B334" s="4"/>
      <c r="C334" s="5">
        <v>200000000</v>
      </c>
      <c r="D334" s="130"/>
    </row>
    <row r="335" spans="1:4" s="194" customFormat="1" ht="20.100000000000001" customHeight="1" x14ac:dyDescent="0.25">
      <c r="A335" s="206" t="s">
        <v>420</v>
      </c>
      <c r="B335" s="1">
        <f>B341+B348+B351</f>
        <v>11</v>
      </c>
      <c r="C335" s="2">
        <f>C336+C344+C351</f>
        <v>2120938000</v>
      </c>
      <c r="D335" s="128"/>
    </row>
    <row r="336" spans="1:4" s="194" customFormat="1" ht="20.100000000000001" customHeight="1" x14ac:dyDescent="0.25">
      <c r="A336" s="206" t="s">
        <v>98</v>
      </c>
      <c r="B336" s="127">
        <f>B337+B340+B342</f>
        <v>8</v>
      </c>
      <c r="C336" s="2">
        <f>C337+C340+C342</f>
        <v>1210690000</v>
      </c>
      <c r="D336" s="128"/>
    </row>
    <row r="337" spans="1:4" s="194" customFormat="1" ht="20.100000000000001" customHeight="1" x14ac:dyDescent="0.25">
      <c r="A337" s="206" t="s">
        <v>99</v>
      </c>
      <c r="B337" s="1"/>
      <c r="C337" s="2">
        <f>SUM(C338:C339)</f>
        <v>823090000</v>
      </c>
      <c r="D337" s="128"/>
    </row>
    <row r="338" spans="1:4" s="196" customFormat="1" ht="20.100000000000001" customHeight="1" x14ac:dyDescent="0.25">
      <c r="A338" s="3" t="s">
        <v>389</v>
      </c>
      <c r="B338" s="212"/>
      <c r="C338" s="5">
        <v>814666000</v>
      </c>
      <c r="D338" s="213"/>
    </row>
    <row r="339" spans="1:4" s="196" customFormat="1" ht="20.100000000000001" customHeight="1" x14ac:dyDescent="0.25">
      <c r="A339" s="3" t="s">
        <v>14</v>
      </c>
      <c r="B339" s="212"/>
      <c r="C339" s="5">
        <f>0.3*2340000*12</f>
        <v>8424000</v>
      </c>
      <c r="D339" s="213"/>
    </row>
    <row r="340" spans="1:4" s="196" customFormat="1" ht="20.100000000000001" customHeight="1" x14ac:dyDescent="0.25">
      <c r="A340" s="206" t="s">
        <v>16</v>
      </c>
      <c r="B340" s="127">
        <f>SUM(B341:B341)</f>
        <v>8</v>
      </c>
      <c r="C340" s="2">
        <f>SUM(C341:C341)</f>
        <v>237600000</v>
      </c>
      <c r="D340" s="213"/>
    </row>
    <row r="341" spans="1:4" s="194" customFormat="1" ht="20.100000000000001" customHeight="1" x14ac:dyDescent="0.25">
      <c r="A341" s="3" t="s">
        <v>68</v>
      </c>
      <c r="B341" s="212">
        <v>8</v>
      </c>
      <c r="C341" s="5">
        <f>B341*29700000</f>
        <v>237600000</v>
      </c>
      <c r="D341" s="213"/>
    </row>
    <row r="342" spans="1:4" s="194" customFormat="1" ht="20.100000000000001" customHeight="1" x14ac:dyDescent="0.25">
      <c r="A342" s="206" t="s">
        <v>18</v>
      </c>
      <c r="B342" s="207"/>
      <c r="C342" s="2">
        <f>SUM(C343:C343)</f>
        <v>150000000</v>
      </c>
      <c r="D342" s="213"/>
    </row>
    <row r="343" spans="1:4" s="196" customFormat="1" ht="32.65" customHeight="1" x14ac:dyDescent="0.25">
      <c r="A343" s="211" t="s">
        <v>421</v>
      </c>
      <c r="B343" s="212"/>
      <c r="C343" s="5">
        <v>150000000</v>
      </c>
      <c r="D343" s="213"/>
    </row>
    <row r="344" spans="1:4" s="194" customFormat="1" ht="18" customHeight="1" x14ac:dyDescent="0.25">
      <c r="A344" s="206" t="s">
        <v>100</v>
      </c>
      <c r="B344" s="127">
        <f>B345+B347+B349</f>
        <v>2</v>
      </c>
      <c r="C344" s="2">
        <f>C345+C347+C349</f>
        <v>605756000</v>
      </c>
      <c r="D344" s="128"/>
    </row>
    <row r="345" spans="1:4" s="194" customFormat="1" ht="18" customHeight="1" x14ac:dyDescent="0.25">
      <c r="A345" s="206" t="s">
        <v>13</v>
      </c>
      <c r="B345" s="127"/>
      <c r="C345" s="2">
        <f>SUM(C346:C346)</f>
        <v>296356000</v>
      </c>
      <c r="D345" s="128"/>
    </row>
    <row r="346" spans="1:4" s="196" customFormat="1" ht="18" customHeight="1" x14ac:dyDescent="0.25">
      <c r="A346" s="3" t="s">
        <v>389</v>
      </c>
      <c r="B346" s="212"/>
      <c r="C346" s="5">
        <v>296356000</v>
      </c>
      <c r="D346" s="213"/>
    </row>
    <row r="347" spans="1:4" s="196" customFormat="1" ht="18" customHeight="1" x14ac:dyDescent="0.25">
      <c r="A347" s="206" t="s">
        <v>16</v>
      </c>
      <c r="B347" s="216">
        <f>SUM(B348:B348)</f>
        <v>2</v>
      </c>
      <c r="C347" s="208">
        <f>SUM(C348:C348)</f>
        <v>59400000</v>
      </c>
      <c r="D347" s="213"/>
    </row>
    <row r="348" spans="1:4" s="194" customFormat="1" ht="18" customHeight="1" x14ac:dyDescent="0.25">
      <c r="A348" s="3" t="s">
        <v>68</v>
      </c>
      <c r="B348" s="212">
        <v>2</v>
      </c>
      <c r="C348" s="5">
        <f>B348*29700000</f>
        <v>59400000</v>
      </c>
      <c r="D348" s="213"/>
    </row>
    <row r="349" spans="1:4" s="194" customFormat="1" ht="19.5" customHeight="1" x14ac:dyDescent="0.25">
      <c r="A349" s="206" t="s">
        <v>101</v>
      </c>
      <c r="B349" s="207"/>
      <c r="C349" s="208">
        <f>SUM(C350)</f>
        <v>250000000</v>
      </c>
      <c r="D349" s="213"/>
    </row>
    <row r="350" spans="1:4" s="194" customFormat="1" ht="19.5" customHeight="1" x14ac:dyDescent="0.25">
      <c r="A350" s="3" t="s">
        <v>422</v>
      </c>
      <c r="B350" s="212"/>
      <c r="C350" s="5">
        <v>250000000</v>
      </c>
      <c r="D350" s="213"/>
    </row>
    <row r="351" spans="1:4" s="194" customFormat="1" ht="19.5" customHeight="1" x14ac:dyDescent="0.25">
      <c r="A351" s="206" t="s">
        <v>423</v>
      </c>
      <c r="B351" s="216">
        <f>B352+B354+B356</f>
        <v>1</v>
      </c>
      <c r="C351" s="208">
        <f>C352+C354+C356</f>
        <v>304492000</v>
      </c>
      <c r="D351" s="213"/>
    </row>
    <row r="352" spans="1:4" s="194" customFormat="1" ht="19.5" customHeight="1" x14ac:dyDescent="0.25">
      <c r="A352" s="206" t="s">
        <v>13</v>
      </c>
      <c r="B352" s="1"/>
      <c r="C352" s="2">
        <f>SUM(C353:C353)</f>
        <v>154792000</v>
      </c>
      <c r="D352" s="213"/>
    </row>
    <row r="353" spans="1:4" s="194" customFormat="1" ht="19.5" customHeight="1" x14ac:dyDescent="0.25">
      <c r="A353" s="3" t="s">
        <v>389</v>
      </c>
      <c r="B353" s="212"/>
      <c r="C353" s="5">
        <v>154792000</v>
      </c>
      <c r="D353" s="213"/>
    </row>
    <row r="354" spans="1:4" s="194" customFormat="1" ht="19.5" customHeight="1" x14ac:dyDescent="0.25">
      <c r="A354" s="206" t="s">
        <v>16</v>
      </c>
      <c r="B354" s="216">
        <f>SUM(B355:B355)</f>
        <v>1</v>
      </c>
      <c r="C354" s="208">
        <f>SUM(C355:C355)</f>
        <v>29700000</v>
      </c>
      <c r="D354" s="213"/>
    </row>
    <row r="355" spans="1:4" s="194" customFormat="1" ht="19.5" customHeight="1" x14ac:dyDescent="0.25">
      <c r="A355" s="3" t="s">
        <v>68</v>
      </c>
      <c r="B355" s="212">
        <v>1</v>
      </c>
      <c r="C355" s="5">
        <f>B355*29700000</f>
        <v>29700000</v>
      </c>
      <c r="D355" s="213"/>
    </row>
    <row r="356" spans="1:4" s="194" customFormat="1" ht="19.5" customHeight="1" x14ac:dyDescent="0.25">
      <c r="A356" s="206" t="s">
        <v>101</v>
      </c>
      <c r="B356" s="207"/>
      <c r="C356" s="2">
        <v>120000000</v>
      </c>
      <c r="D356" s="213"/>
    </row>
    <row r="357" spans="1:4" s="194" customFormat="1" ht="19.149999999999999" customHeight="1" x14ac:dyDescent="0.25">
      <c r="A357" s="206" t="s">
        <v>431</v>
      </c>
      <c r="B357" s="127">
        <f>B358+B701</f>
        <v>615</v>
      </c>
      <c r="C357" s="2">
        <f>C358+C701</f>
        <v>203357670000</v>
      </c>
      <c r="D357" s="128"/>
    </row>
    <row r="358" spans="1:4" s="194" customFormat="1" ht="30.6" customHeight="1" x14ac:dyDescent="0.25">
      <c r="A358" s="206" t="s">
        <v>452</v>
      </c>
      <c r="B358" s="1">
        <v>615</v>
      </c>
      <c r="C358" s="2">
        <f>C359+C386+C396+C406+C417+C428+C439+C450+C461+C472+C483+C506+C529+C552+C575+C598+C621+C644+C667+C690</f>
        <v>201357670000</v>
      </c>
      <c r="D358" s="128"/>
    </row>
    <row r="359" spans="1:4" s="214" customFormat="1" ht="17.649999999999999" customHeight="1" x14ac:dyDescent="0.2">
      <c r="A359" s="221" t="s">
        <v>453</v>
      </c>
      <c r="B359" s="1"/>
      <c r="C359" s="2">
        <f>C360+C365+C370+C376</f>
        <v>32059271000</v>
      </c>
      <c r="D359" s="128"/>
    </row>
    <row r="360" spans="1:4" s="194" customFormat="1" ht="17.649999999999999" customHeight="1" x14ac:dyDescent="0.25">
      <c r="A360" s="3" t="s">
        <v>449</v>
      </c>
      <c r="B360" s="4"/>
      <c r="C360" s="5">
        <f>SUM(C361:C364)</f>
        <v>5100000000</v>
      </c>
      <c r="D360" s="130"/>
    </row>
    <row r="361" spans="1:4" s="223" customFormat="1" ht="45" x14ac:dyDescent="0.25">
      <c r="A361" s="222" t="s">
        <v>582</v>
      </c>
      <c r="B361" s="181"/>
      <c r="C361" s="182">
        <v>600000000</v>
      </c>
      <c r="D361" s="129"/>
    </row>
    <row r="362" spans="1:4" s="223" customFormat="1" ht="17.649999999999999" customHeight="1" x14ac:dyDescent="0.25">
      <c r="A362" s="222" t="s">
        <v>583</v>
      </c>
      <c r="B362" s="181"/>
      <c r="C362" s="182">
        <v>300000000</v>
      </c>
      <c r="D362" s="129"/>
    </row>
    <row r="363" spans="1:4" s="223" customFormat="1" ht="17.649999999999999" customHeight="1" x14ac:dyDescent="0.25">
      <c r="A363" s="222" t="s">
        <v>584</v>
      </c>
      <c r="B363" s="181"/>
      <c r="C363" s="182">
        <v>2500000000</v>
      </c>
      <c r="D363" s="129"/>
    </row>
    <row r="364" spans="1:4" s="223" customFormat="1" ht="17.649999999999999" customHeight="1" x14ac:dyDescent="0.25">
      <c r="A364" s="222" t="s">
        <v>585</v>
      </c>
      <c r="B364" s="181"/>
      <c r="C364" s="182">
        <v>1700000000</v>
      </c>
      <c r="D364" s="129"/>
    </row>
    <row r="365" spans="1:4" s="194" customFormat="1" ht="17.649999999999999" customHeight="1" x14ac:dyDescent="0.25">
      <c r="A365" s="3" t="s">
        <v>450</v>
      </c>
      <c r="B365" s="4"/>
      <c r="C365" s="5">
        <f>SUM(C366:C369)</f>
        <v>4000000000</v>
      </c>
      <c r="D365" s="130"/>
    </row>
    <row r="366" spans="1:4" s="223" customFormat="1" ht="45" x14ac:dyDescent="0.25">
      <c r="A366" s="222" t="s">
        <v>582</v>
      </c>
      <c r="B366" s="181"/>
      <c r="C366" s="182">
        <v>500000000</v>
      </c>
      <c r="D366" s="129"/>
    </row>
    <row r="367" spans="1:4" s="223" customFormat="1" ht="17.649999999999999" customHeight="1" x14ac:dyDescent="0.25">
      <c r="A367" s="222" t="s">
        <v>583</v>
      </c>
      <c r="B367" s="181"/>
      <c r="C367" s="182">
        <v>200000000</v>
      </c>
      <c r="D367" s="129"/>
    </row>
    <row r="368" spans="1:4" s="223" customFormat="1" ht="17.649999999999999" customHeight="1" x14ac:dyDescent="0.25">
      <c r="A368" s="222" t="s">
        <v>584</v>
      </c>
      <c r="B368" s="181"/>
      <c r="C368" s="182">
        <v>2300000000</v>
      </c>
      <c r="D368" s="129"/>
    </row>
    <row r="369" spans="1:4" s="223" customFormat="1" ht="17.649999999999999" customHeight="1" x14ac:dyDescent="0.25">
      <c r="A369" s="222" t="s">
        <v>585</v>
      </c>
      <c r="B369" s="181"/>
      <c r="C369" s="182">
        <v>1000000000</v>
      </c>
      <c r="D369" s="129"/>
    </row>
    <row r="370" spans="1:4" s="194" customFormat="1" ht="17.649999999999999" customHeight="1" x14ac:dyDescent="0.25">
      <c r="A370" s="3" t="s">
        <v>451</v>
      </c>
      <c r="B370" s="4"/>
      <c r="C370" s="5">
        <f>SUM(C371:C375)</f>
        <v>17378271000</v>
      </c>
      <c r="D370" s="130"/>
    </row>
    <row r="371" spans="1:4" s="223" customFormat="1" ht="45" x14ac:dyDescent="0.25">
      <c r="A371" s="222" t="s">
        <v>582</v>
      </c>
      <c r="B371" s="181"/>
      <c r="C371" s="182">
        <v>1500000000</v>
      </c>
      <c r="D371" s="129"/>
    </row>
    <row r="372" spans="1:4" s="223" customFormat="1" ht="17.649999999999999" customHeight="1" x14ac:dyDescent="0.25">
      <c r="A372" s="222" t="s">
        <v>583</v>
      </c>
      <c r="B372" s="181"/>
      <c r="C372" s="182">
        <v>5000000000</v>
      </c>
      <c r="D372" s="129"/>
    </row>
    <row r="373" spans="1:4" s="223" customFormat="1" ht="17.649999999999999" customHeight="1" x14ac:dyDescent="0.25">
      <c r="A373" s="222" t="s">
        <v>584</v>
      </c>
      <c r="B373" s="181"/>
      <c r="C373" s="182">
        <v>8000000000</v>
      </c>
      <c r="D373" s="129"/>
    </row>
    <row r="374" spans="1:4" s="223" customFormat="1" ht="17.649999999999999" customHeight="1" x14ac:dyDescent="0.25">
      <c r="A374" s="222" t="s">
        <v>585</v>
      </c>
      <c r="B374" s="181"/>
      <c r="C374" s="182">
        <v>2378271000</v>
      </c>
      <c r="D374" s="129"/>
    </row>
    <row r="375" spans="1:4" s="223" customFormat="1" ht="30" x14ac:dyDescent="0.25">
      <c r="A375" s="222" t="s">
        <v>586</v>
      </c>
      <c r="B375" s="181"/>
      <c r="C375" s="182">
        <v>500000000</v>
      </c>
      <c r="D375" s="129"/>
    </row>
    <row r="376" spans="1:4" s="194" customFormat="1" ht="17.649999999999999" customHeight="1" x14ac:dyDescent="0.25">
      <c r="A376" s="3" t="s">
        <v>448</v>
      </c>
      <c r="B376" s="4"/>
      <c r="C376" s="5">
        <v>5581000000</v>
      </c>
      <c r="D376" s="130"/>
    </row>
    <row r="377" spans="1:4" s="223" customFormat="1" ht="17.649999999999999" customHeight="1" x14ac:dyDescent="0.25">
      <c r="A377" s="222" t="s">
        <v>587</v>
      </c>
      <c r="B377" s="181"/>
      <c r="C377" s="182">
        <v>1222412000</v>
      </c>
      <c r="D377" s="129"/>
    </row>
    <row r="378" spans="1:4" s="223" customFormat="1" ht="17.649999999999999" customHeight="1" x14ac:dyDescent="0.25">
      <c r="A378" s="222" t="s">
        <v>588</v>
      </c>
      <c r="B378" s="181"/>
      <c r="C378" s="182">
        <v>1023500000</v>
      </c>
      <c r="D378" s="129"/>
    </row>
    <row r="379" spans="1:4" s="223" customFormat="1" ht="17.649999999999999" customHeight="1" x14ac:dyDescent="0.25">
      <c r="A379" s="222" t="s">
        <v>589</v>
      </c>
      <c r="B379" s="181"/>
      <c r="C379" s="182">
        <v>131740000</v>
      </c>
      <c r="D379" s="129"/>
    </row>
    <row r="380" spans="1:4" s="223" customFormat="1" ht="17.649999999999999" customHeight="1" x14ac:dyDescent="0.25">
      <c r="A380" s="222" t="s">
        <v>590</v>
      </c>
      <c r="B380" s="181"/>
      <c r="C380" s="182">
        <v>67172000</v>
      </c>
      <c r="D380" s="129"/>
    </row>
    <row r="381" spans="1:4" s="223" customFormat="1" ht="17.649999999999999" customHeight="1" x14ac:dyDescent="0.25">
      <c r="A381" s="222" t="s">
        <v>591</v>
      </c>
      <c r="B381" s="181"/>
      <c r="C381" s="182">
        <v>2436900000</v>
      </c>
      <c r="D381" s="129"/>
    </row>
    <row r="382" spans="1:4" s="223" customFormat="1" ht="17.649999999999999" customHeight="1" x14ac:dyDescent="0.25">
      <c r="A382" s="222" t="s">
        <v>588</v>
      </c>
      <c r="B382" s="181"/>
      <c r="C382" s="182">
        <v>2436900000</v>
      </c>
      <c r="D382" s="129"/>
    </row>
    <row r="383" spans="1:4" s="223" customFormat="1" ht="17.649999999999999" customHeight="1" x14ac:dyDescent="0.25">
      <c r="A383" s="222" t="s">
        <v>592</v>
      </c>
      <c r="B383" s="181"/>
      <c r="C383" s="182">
        <v>1921688000</v>
      </c>
      <c r="D383" s="129"/>
    </row>
    <row r="384" spans="1:4" s="223" customFormat="1" ht="17.649999999999999" customHeight="1" x14ac:dyDescent="0.25">
      <c r="A384" s="222" t="s">
        <v>588</v>
      </c>
      <c r="B384" s="181"/>
      <c r="C384" s="182">
        <v>1658328000</v>
      </c>
      <c r="D384" s="129"/>
    </row>
    <row r="385" spans="1:4" s="223" customFormat="1" ht="17.649999999999999" customHeight="1" x14ac:dyDescent="0.25">
      <c r="A385" s="222" t="s">
        <v>589</v>
      </c>
      <c r="B385" s="181"/>
      <c r="C385" s="182">
        <v>263360000</v>
      </c>
      <c r="D385" s="129"/>
    </row>
    <row r="386" spans="1:4" s="214" customFormat="1" ht="20.100000000000001" customHeight="1" x14ac:dyDescent="0.2">
      <c r="A386" s="221" t="s">
        <v>454</v>
      </c>
      <c r="B386" s="1"/>
      <c r="C386" s="2">
        <f>C387+C389+C392</f>
        <v>2027942000</v>
      </c>
      <c r="D386" s="128"/>
    </row>
    <row r="387" spans="1:4" s="194" customFormat="1" ht="20.100000000000001" customHeight="1" x14ac:dyDescent="0.25">
      <c r="A387" s="206" t="s">
        <v>13</v>
      </c>
      <c r="B387" s="4"/>
      <c r="C387" s="2">
        <f>C388</f>
        <v>1223707000</v>
      </c>
      <c r="D387" s="130"/>
    </row>
    <row r="388" spans="1:4" s="194" customFormat="1" ht="20.100000000000001" customHeight="1" x14ac:dyDescent="0.25">
      <c r="A388" s="3" t="s">
        <v>389</v>
      </c>
      <c r="B388" s="4"/>
      <c r="C388" s="5">
        <v>1223707000</v>
      </c>
      <c r="D388" s="130"/>
    </row>
    <row r="389" spans="1:4" s="194" customFormat="1" ht="20.100000000000001" customHeight="1" x14ac:dyDescent="0.25">
      <c r="A389" s="206" t="s">
        <v>16</v>
      </c>
      <c r="B389" s="4"/>
      <c r="C389" s="2">
        <f>C390+C391</f>
        <v>480035000</v>
      </c>
      <c r="D389" s="130"/>
    </row>
    <row r="390" spans="1:4" s="194" customFormat="1" ht="20.100000000000001" customHeight="1" x14ac:dyDescent="0.25">
      <c r="A390" s="3" t="s">
        <v>68</v>
      </c>
      <c r="B390" s="4">
        <f>C390/25000000</f>
        <v>9</v>
      </c>
      <c r="C390" s="5">
        <v>225000000</v>
      </c>
      <c r="D390" s="130"/>
    </row>
    <row r="391" spans="1:4" s="194" customFormat="1" ht="20.100000000000001" customHeight="1" x14ac:dyDescent="0.25">
      <c r="A391" s="3" t="s">
        <v>457</v>
      </c>
      <c r="B391" s="4"/>
      <c r="C391" s="5">
        <v>255035000</v>
      </c>
      <c r="D391" s="130"/>
    </row>
    <row r="392" spans="1:4" s="194" customFormat="1" ht="20.100000000000001" customHeight="1" x14ac:dyDescent="0.25">
      <c r="A392" s="206" t="s">
        <v>101</v>
      </c>
      <c r="B392" s="4"/>
      <c r="C392" s="2">
        <f>SUM(C393:C395)</f>
        <v>324200000</v>
      </c>
      <c r="D392" s="130"/>
    </row>
    <row r="393" spans="1:4" s="194" customFormat="1" ht="20.100000000000001" customHeight="1" x14ac:dyDescent="0.25">
      <c r="A393" s="3" t="s">
        <v>456</v>
      </c>
      <c r="B393" s="4"/>
      <c r="C393" s="5">
        <v>124200000</v>
      </c>
      <c r="D393" s="130"/>
    </row>
    <row r="394" spans="1:4" s="194" customFormat="1" ht="20.100000000000001" customHeight="1" x14ac:dyDescent="0.25">
      <c r="A394" s="3" t="s">
        <v>459</v>
      </c>
      <c r="B394" s="4"/>
      <c r="C394" s="5">
        <v>100000000</v>
      </c>
      <c r="D394" s="130"/>
    </row>
    <row r="395" spans="1:4" s="194" customFormat="1" ht="20.100000000000001" customHeight="1" x14ac:dyDescent="0.25">
      <c r="A395" s="3" t="s">
        <v>458</v>
      </c>
      <c r="B395" s="4"/>
      <c r="C395" s="5">
        <v>100000000</v>
      </c>
      <c r="D395" s="130"/>
    </row>
    <row r="396" spans="1:4" s="214" customFormat="1" ht="20.100000000000001" customHeight="1" x14ac:dyDescent="0.2">
      <c r="A396" s="221" t="s">
        <v>460</v>
      </c>
      <c r="B396" s="1"/>
      <c r="C396" s="2">
        <f>C397+C399+C402</f>
        <v>5086939000</v>
      </c>
      <c r="D396" s="128"/>
    </row>
    <row r="397" spans="1:4" s="194" customFormat="1" ht="20.100000000000001" customHeight="1" x14ac:dyDescent="0.25">
      <c r="A397" s="206" t="s">
        <v>13</v>
      </c>
      <c r="B397" s="4"/>
      <c r="C397" s="2">
        <f>C398</f>
        <v>3666627000</v>
      </c>
      <c r="D397" s="130"/>
    </row>
    <row r="398" spans="1:4" s="194" customFormat="1" ht="20.100000000000001" customHeight="1" x14ac:dyDescent="0.25">
      <c r="A398" s="3" t="s">
        <v>389</v>
      </c>
      <c r="B398" s="4"/>
      <c r="C398" s="5">
        <v>3666627000</v>
      </c>
      <c r="D398" s="130"/>
    </row>
    <row r="399" spans="1:4" s="194" customFormat="1" ht="20.100000000000001" customHeight="1" x14ac:dyDescent="0.25">
      <c r="A399" s="206" t="s">
        <v>16</v>
      </c>
      <c r="B399" s="4"/>
      <c r="C399" s="2">
        <f>C400+C401</f>
        <v>917812000</v>
      </c>
      <c r="D399" s="130"/>
    </row>
    <row r="400" spans="1:4" s="194" customFormat="1" ht="20.100000000000001" customHeight="1" x14ac:dyDescent="0.25">
      <c r="A400" s="3" t="s">
        <v>68</v>
      </c>
      <c r="B400" s="4">
        <f>C400/25000000</f>
        <v>19</v>
      </c>
      <c r="C400" s="5">
        <v>475000000</v>
      </c>
      <c r="D400" s="130"/>
    </row>
    <row r="401" spans="1:4" s="194" customFormat="1" ht="20.100000000000001" customHeight="1" x14ac:dyDescent="0.25">
      <c r="A401" s="3" t="s">
        <v>457</v>
      </c>
      <c r="B401" s="4"/>
      <c r="C401" s="5">
        <v>442812000</v>
      </c>
      <c r="D401" s="130"/>
    </row>
    <row r="402" spans="1:4" s="194" customFormat="1" ht="20.100000000000001" customHeight="1" x14ac:dyDescent="0.25">
      <c r="A402" s="206" t="s">
        <v>101</v>
      </c>
      <c r="B402" s="4"/>
      <c r="C402" s="2">
        <f>SUM(C403:C405)</f>
        <v>502500000</v>
      </c>
      <c r="D402" s="130"/>
    </row>
    <row r="403" spans="1:4" s="194" customFormat="1" ht="20.100000000000001" customHeight="1" x14ac:dyDescent="0.25">
      <c r="A403" s="3" t="s">
        <v>456</v>
      </c>
      <c r="B403" s="4"/>
      <c r="C403" s="5">
        <v>252500000</v>
      </c>
      <c r="D403" s="130"/>
    </row>
    <row r="404" spans="1:4" s="194" customFormat="1" ht="20.100000000000001" customHeight="1" x14ac:dyDescent="0.25">
      <c r="A404" s="3" t="s">
        <v>459</v>
      </c>
      <c r="B404" s="4"/>
      <c r="C404" s="5">
        <v>150000000</v>
      </c>
      <c r="D404" s="130"/>
    </row>
    <row r="405" spans="1:4" s="194" customFormat="1" ht="20.100000000000001" customHeight="1" x14ac:dyDescent="0.25">
      <c r="A405" s="3" t="s">
        <v>458</v>
      </c>
      <c r="B405" s="4"/>
      <c r="C405" s="5">
        <v>100000000</v>
      </c>
      <c r="D405" s="130"/>
    </row>
    <row r="406" spans="1:4" s="214" customFormat="1" ht="20.100000000000001" customHeight="1" x14ac:dyDescent="0.2">
      <c r="A406" s="221" t="s">
        <v>461</v>
      </c>
      <c r="B406" s="1"/>
      <c r="C406" s="2">
        <f>C407+C409+C412</f>
        <v>3885386000</v>
      </c>
      <c r="D406" s="128"/>
    </row>
    <row r="407" spans="1:4" s="194" customFormat="1" ht="20.100000000000001" customHeight="1" x14ac:dyDescent="0.25">
      <c r="A407" s="206" t="s">
        <v>13</v>
      </c>
      <c r="B407" s="4"/>
      <c r="C407" s="2">
        <f>C408</f>
        <v>2676193000</v>
      </c>
      <c r="D407" s="130"/>
    </row>
    <row r="408" spans="1:4" s="194" customFormat="1" ht="20.100000000000001" customHeight="1" x14ac:dyDescent="0.25">
      <c r="A408" s="3" t="s">
        <v>389</v>
      </c>
      <c r="B408" s="4"/>
      <c r="C408" s="5">
        <v>2676193000</v>
      </c>
      <c r="D408" s="130"/>
    </row>
    <row r="409" spans="1:4" s="194" customFormat="1" ht="20.100000000000001" customHeight="1" x14ac:dyDescent="0.25">
      <c r="A409" s="206" t="s">
        <v>16</v>
      </c>
      <c r="B409" s="4"/>
      <c r="C409" s="2">
        <f>C410+C411</f>
        <v>748065000</v>
      </c>
      <c r="D409" s="130"/>
    </row>
    <row r="410" spans="1:4" s="194" customFormat="1" ht="20.100000000000001" customHeight="1" x14ac:dyDescent="0.25">
      <c r="A410" s="3" t="s">
        <v>68</v>
      </c>
      <c r="B410" s="4">
        <f>C410/25000000</f>
        <v>15</v>
      </c>
      <c r="C410" s="5">
        <v>375000000</v>
      </c>
      <c r="D410" s="130"/>
    </row>
    <row r="411" spans="1:4" s="194" customFormat="1" ht="20.100000000000001" customHeight="1" x14ac:dyDescent="0.25">
      <c r="A411" s="3" t="s">
        <v>457</v>
      </c>
      <c r="B411" s="4"/>
      <c r="C411" s="5">
        <v>373065000</v>
      </c>
      <c r="D411" s="130"/>
    </row>
    <row r="412" spans="1:4" s="194" customFormat="1" ht="20.100000000000001" customHeight="1" x14ac:dyDescent="0.25">
      <c r="A412" s="206" t="s">
        <v>101</v>
      </c>
      <c r="B412" s="4"/>
      <c r="C412" s="2">
        <f>SUM(C413:C416)</f>
        <v>461128000</v>
      </c>
      <c r="D412" s="130"/>
    </row>
    <row r="413" spans="1:4" s="194" customFormat="1" ht="20.100000000000001" customHeight="1" x14ac:dyDescent="0.25">
      <c r="A413" s="3" t="s">
        <v>456</v>
      </c>
      <c r="B413" s="4"/>
      <c r="C413" s="5">
        <v>196700000</v>
      </c>
      <c r="D413" s="130"/>
    </row>
    <row r="414" spans="1:4" s="194" customFormat="1" ht="20.100000000000001" customHeight="1" x14ac:dyDescent="0.25">
      <c r="A414" s="3" t="s">
        <v>462</v>
      </c>
      <c r="B414" s="4"/>
      <c r="C414" s="5">
        <v>14428000</v>
      </c>
      <c r="D414" s="130"/>
    </row>
    <row r="415" spans="1:4" s="194" customFormat="1" ht="20.100000000000001" customHeight="1" x14ac:dyDescent="0.25">
      <c r="A415" s="3" t="s">
        <v>459</v>
      </c>
      <c r="B415" s="4"/>
      <c r="C415" s="5">
        <v>150000000</v>
      </c>
      <c r="D415" s="130"/>
    </row>
    <row r="416" spans="1:4" s="194" customFormat="1" ht="20.100000000000001" customHeight="1" x14ac:dyDescent="0.25">
      <c r="A416" s="3" t="s">
        <v>458</v>
      </c>
      <c r="B416" s="4"/>
      <c r="C416" s="5">
        <v>100000000</v>
      </c>
      <c r="D416" s="130"/>
    </row>
    <row r="417" spans="1:4" s="214" customFormat="1" ht="20.100000000000001" customHeight="1" x14ac:dyDescent="0.2">
      <c r="A417" s="221" t="s">
        <v>463</v>
      </c>
      <c r="B417" s="1"/>
      <c r="C417" s="2">
        <f>C418+C420+C423</f>
        <v>5773291000</v>
      </c>
      <c r="D417" s="128"/>
    </row>
    <row r="418" spans="1:4" s="194" customFormat="1" ht="20.100000000000001" customHeight="1" x14ac:dyDescent="0.25">
      <c r="A418" s="206" t="s">
        <v>13</v>
      </c>
      <c r="B418" s="4"/>
      <c r="C418" s="2">
        <f>C419</f>
        <v>4178397000</v>
      </c>
      <c r="D418" s="130"/>
    </row>
    <row r="419" spans="1:4" s="194" customFormat="1" ht="20.100000000000001" customHeight="1" x14ac:dyDescent="0.25">
      <c r="A419" s="3" t="s">
        <v>389</v>
      </c>
      <c r="B419" s="4"/>
      <c r="C419" s="5">
        <v>4178397000</v>
      </c>
      <c r="D419" s="130"/>
    </row>
    <row r="420" spans="1:4" s="194" customFormat="1" ht="20.100000000000001" customHeight="1" x14ac:dyDescent="0.25">
      <c r="A420" s="206" t="s">
        <v>16</v>
      </c>
      <c r="B420" s="4"/>
      <c r="C420" s="2">
        <f>C421+C422</f>
        <v>931494000</v>
      </c>
      <c r="D420" s="130"/>
    </row>
    <row r="421" spans="1:4" s="194" customFormat="1" ht="20.100000000000001" customHeight="1" x14ac:dyDescent="0.25">
      <c r="A421" s="3" t="s">
        <v>68</v>
      </c>
      <c r="B421" s="4">
        <f>C421/25000000</f>
        <v>19</v>
      </c>
      <c r="C421" s="5">
        <v>475000000</v>
      </c>
      <c r="D421" s="130"/>
    </row>
    <row r="422" spans="1:4" s="194" customFormat="1" ht="20.100000000000001" customHeight="1" x14ac:dyDescent="0.25">
      <c r="A422" s="3" t="s">
        <v>457</v>
      </c>
      <c r="B422" s="4"/>
      <c r="C422" s="5">
        <v>456494000</v>
      </c>
      <c r="D422" s="130"/>
    </row>
    <row r="423" spans="1:4" s="194" customFormat="1" ht="20.100000000000001" customHeight="1" x14ac:dyDescent="0.25">
      <c r="A423" s="206" t="s">
        <v>101</v>
      </c>
      <c r="B423" s="4"/>
      <c r="C423" s="2">
        <f>SUM(C424:C427)</f>
        <v>663400000</v>
      </c>
      <c r="D423" s="130"/>
    </row>
    <row r="424" spans="1:4" s="194" customFormat="1" ht="20.100000000000001" customHeight="1" x14ac:dyDescent="0.25">
      <c r="A424" s="3" t="s">
        <v>456</v>
      </c>
      <c r="B424" s="4"/>
      <c r="C424" s="5">
        <v>413400000</v>
      </c>
      <c r="D424" s="130"/>
    </row>
    <row r="425" spans="1:4" s="194" customFormat="1" ht="20.100000000000001" customHeight="1" x14ac:dyDescent="0.25">
      <c r="A425" s="3" t="s">
        <v>462</v>
      </c>
      <c r="B425" s="4"/>
      <c r="C425" s="5">
        <v>0</v>
      </c>
      <c r="D425" s="130"/>
    </row>
    <row r="426" spans="1:4" s="194" customFormat="1" ht="20.100000000000001" customHeight="1" x14ac:dyDescent="0.25">
      <c r="A426" s="3" t="s">
        <v>459</v>
      </c>
      <c r="B426" s="4"/>
      <c r="C426" s="5">
        <v>150000000</v>
      </c>
      <c r="D426" s="130"/>
    </row>
    <row r="427" spans="1:4" s="194" customFormat="1" ht="20.100000000000001" customHeight="1" x14ac:dyDescent="0.25">
      <c r="A427" s="3" t="s">
        <v>458</v>
      </c>
      <c r="B427" s="4"/>
      <c r="C427" s="5">
        <v>100000000</v>
      </c>
      <c r="D427" s="130"/>
    </row>
    <row r="428" spans="1:4" s="214" customFormat="1" ht="20.100000000000001" customHeight="1" x14ac:dyDescent="0.2">
      <c r="A428" s="221" t="s">
        <v>464</v>
      </c>
      <c r="B428" s="1"/>
      <c r="C428" s="2">
        <f>C429+C431+C434</f>
        <v>9627914000</v>
      </c>
      <c r="D428" s="128"/>
    </row>
    <row r="429" spans="1:4" s="194" customFormat="1" ht="20.100000000000001" customHeight="1" x14ac:dyDescent="0.25">
      <c r="A429" s="206" t="s">
        <v>13</v>
      </c>
      <c r="B429" s="4"/>
      <c r="C429" s="2">
        <f>C430</f>
        <v>7253694000</v>
      </c>
      <c r="D429" s="130"/>
    </row>
    <row r="430" spans="1:4" s="194" customFormat="1" ht="20.100000000000001" customHeight="1" x14ac:dyDescent="0.25">
      <c r="A430" s="3" t="s">
        <v>389</v>
      </c>
      <c r="B430" s="4"/>
      <c r="C430" s="5">
        <v>7253694000</v>
      </c>
      <c r="D430" s="130"/>
    </row>
    <row r="431" spans="1:4" s="194" customFormat="1" ht="20.100000000000001" customHeight="1" x14ac:dyDescent="0.25">
      <c r="A431" s="206" t="s">
        <v>16</v>
      </c>
      <c r="B431" s="4"/>
      <c r="C431" s="2">
        <f>C432+C433</f>
        <v>1605820000</v>
      </c>
      <c r="D431" s="130"/>
    </row>
    <row r="432" spans="1:4" s="194" customFormat="1" ht="20.100000000000001" customHeight="1" x14ac:dyDescent="0.25">
      <c r="A432" s="3" t="s">
        <v>68</v>
      </c>
      <c r="B432" s="4">
        <f>C432/25000000</f>
        <v>33</v>
      </c>
      <c r="C432" s="5">
        <v>825000000</v>
      </c>
      <c r="D432" s="130"/>
    </row>
    <row r="433" spans="1:4" s="194" customFormat="1" ht="20.100000000000001" customHeight="1" x14ac:dyDescent="0.25">
      <c r="A433" s="3" t="s">
        <v>457</v>
      </c>
      <c r="B433" s="4"/>
      <c r="C433" s="5">
        <v>780820000</v>
      </c>
      <c r="D433" s="130"/>
    </row>
    <row r="434" spans="1:4" s="194" customFormat="1" ht="20.100000000000001" customHeight="1" x14ac:dyDescent="0.25">
      <c r="A434" s="206" t="s">
        <v>101</v>
      </c>
      <c r="B434" s="4"/>
      <c r="C434" s="2">
        <f>SUM(C435:C438)</f>
        <v>768400000</v>
      </c>
      <c r="D434" s="130"/>
    </row>
    <row r="435" spans="1:4" s="194" customFormat="1" ht="20.100000000000001" customHeight="1" x14ac:dyDescent="0.25">
      <c r="A435" s="3" t="s">
        <v>456</v>
      </c>
      <c r="B435" s="4"/>
      <c r="C435" s="5">
        <v>518400000</v>
      </c>
      <c r="D435" s="130"/>
    </row>
    <row r="436" spans="1:4" s="194" customFormat="1" ht="20.100000000000001" customHeight="1" x14ac:dyDescent="0.25">
      <c r="A436" s="3" t="s">
        <v>462</v>
      </c>
      <c r="B436" s="4"/>
      <c r="C436" s="5">
        <v>0</v>
      </c>
      <c r="D436" s="130"/>
    </row>
    <row r="437" spans="1:4" s="194" customFormat="1" ht="20.100000000000001" customHeight="1" x14ac:dyDescent="0.25">
      <c r="A437" s="3" t="s">
        <v>459</v>
      </c>
      <c r="B437" s="4"/>
      <c r="C437" s="5">
        <v>150000000</v>
      </c>
      <c r="D437" s="130"/>
    </row>
    <row r="438" spans="1:4" s="194" customFormat="1" ht="20.100000000000001" customHeight="1" x14ac:dyDescent="0.25">
      <c r="A438" s="3" t="s">
        <v>458</v>
      </c>
      <c r="B438" s="4"/>
      <c r="C438" s="5">
        <v>100000000</v>
      </c>
      <c r="D438" s="130"/>
    </row>
    <row r="439" spans="1:4" s="214" customFormat="1" ht="20.100000000000001" customHeight="1" x14ac:dyDescent="0.2">
      <c r="A439" s="221" t="s">
        <v>465</v>
      </c>
      <c r="B439" s="1"/>
      <c r="C439" s="2">
        <f>C440+C442+C445</f>
        <v>3453836000</v>
      </c>
      <c r="D439" s="128"/>
    </row>
    <row r="440" spans="1:4" s="194" customFormat="1" ht="20.100000000000001" customHeight="1" x14ac:dyDescent="0.25">
      <c r="A440" s="206" t="s">
        <v>13</v>
      </c>
      <c r="B440" s="4"/>
      <c r="C440" s="2">
        <f>C441</f>
        <v>2412431000</v>
      </c>
      <c r="D440" s="130"/>
    </row>
    <row r="441" spans="1:4" s="194" customFormat="1" ht="20.100000000000001" customHeight="1" x14ac:dyDescent="0.25">
      <c r="A441" s="3" t="s">
        <v>389</v>
      </c>
      <c r="B441" s="4"/>
      <c r="C441" s="5">
        <v>2412431000</v>
      </c>
      <c r="D441" s="130"/>
    </row>
    <row r="442" spans="1:4" s="194" customFormat="1" ht="20.100000000000001" customHeight="1" x14ac:dyDescent="0.25">
      <c r="A442" s="206" t="s">
        <v>16</v>
      </c>
      <c r="B442" s="4"/>
      <c r="C442" s="2">
        <f>C443+C444</f>
        <v>593355000</v>
      </c>
      <c r="D442" s="130"/>
    </row>
    <row r="443" spans="1:4" s="194" customFormat="1" ht="20.100000000000001" customHeight="1" x14ac:dyDescent="0.25">
      <c r="A443" s="3" t="s">
        <v>68</v>
      </c>
      <c r="B443" s="4">
        <f>C443/25000000</f>
        <v>12</v>
      </c>
      <c r="C443" s="5">
        <v>300000000</v>
      </c>
      <c r="D443" s="130"/>
    </row>
    <row r="444" spans="1:4" s="194" customFormat="1" ht="20.100000000000001" customHeight="1" x14ac:dyDescent="0.25">
      <c r="A444" s="3" t="s">
        <v>457</v>
      </c>
      <c r="B444" s="4"/>
      <c r="C444" s="5">
        <v>293355000</v>
      </c>
      <c r="D444" s="130"/>
    </row>
    <row r="445" spans="1:4" s="194" customFormat="1" ht="20.100000000000001" customHeight="1" x14ac:dyDescent="0.25">
      <c r="A445" s="206" t="s">
        <v>101</v>
      </c>
      <c r="B445" s="4"/>
      <c r="C445" s="2">
        <f>SUM(C446:C449)</f>
        <v>448050000</v>
      </c>
      <c r="D445" s="130"/>
    </row>
    <row r="446" spans="1:4" s="194" customFormat="1" ht="20.100000000000001" customHeight="1" x14ac:dyDescent="0.25">
      <c r="A446" s="3" t="s">
        <v>456</v>
      </c>
      <c r="B446" s="4"/>
      <c r="C446" s="5">
        <v>248050000</v>
      </c>
      <c r="D446" s="130"/>
    </row>
    <row r="447" spans="1:4" s="194" customFormat="1" ht="20.100000000000001" customHeight="1" x14ac:dyDescent="0.25">
      <c r="A447" s="3" t="s">
        <v>462</v>
      </c>
      <c r="B447" s="4"/>
      <c r="C447" s="5">
        <v>0</v>
      </c>
      <c r="D447" s="130"/>
    </row>
    <row r="448" spans="1:4" s="194" customFormat="1" ht="20.100000000000001" customHeight="1" x14ac:dyDescent="0.25">
      <c r="A448" s="3" t="s">
        <v>459</v>
      </c>
      <c r="B448" s="4"/>
      <c r="C448" s="5">
        <v>100000000</v>
      </c>
      <c r="D448" s="130"/>
    </row>
    <row r="449" spans="1:4" s="194" customFormat="1" ht="20.100000000000001" customHeight="1" x14ac:dyDescent="0.25">
      <c r="A449" s="3" t="s">
        <v>458</v>
      </c>
      <c r="B449" s="4"/>
      <c r="C449" s="5">
        <v>100000000</v>
      </c>
      <c r="D449" s="130"/>
    </row>
    <row r="450" spans="1:4" s="214" customFormat="1" ht="20.100000000000001" customHeight="1" x14ac:dyDescent="0.2">
      <c r="A450" s="221" t="s">
        <v>466</v>
      </c>
      <c r="B450" s="1"/>
      <c r="C450" s="2">
        <f>C451+C453+C456</f>
        <v>6675828000</v>
      </c>
      <c r="D450" s="128"/>
    </row>
    <row r="451" spans="1:4" s="194" customFormat="1" ht="20.100000000000001" customHeight="1" x14ac:dyDescent="0.25">
      <c r="A451" s="206" t="s">
        <v>13</v>
      </c>
      <c r="B451" s="4"/>
      <c r="C451" s="2">
        <f>C452</f>
        <v>4782070000</v>
      </c>
      <c r="D451" s="130"/>
    </row>
    <row r="452" spans="1:4" s="194" customFormat="1" ht="20.100000000000001" customHeight="1" x14ac:dyDescent="0.25">
      <c r="A452" s="3" t="s">
        <v>389</v>
      </c>
      <c r="B452" s="4"/>
      <c r="C452" s="5">
        <v>4782070000</v>
      </c>
      <c r="D452" s="130"/>
    </row>
    <row r="453" spans="1:4" s="194" customFormat="1" ht="20.100000000000001" customHeight="1" x14ac:dyDescent="0.25">
      <c r="A453" s="206" t="s">
        <v>16</v>
      </c>
      <c r="B453" s="4"/>
      <c r="C453" s="2">
        <f>C454+C455</f>
        <v>1120358000</v>
      </c>
      <c r="D453" s="130"/>
    </row>
    <row r="454" spans="1:4" s="194" customFormat="1" ht="20.100000000000001" customHeight="1" x14ac:dyDescent="0.25">
      <c r="A454" s="3" t="s">
        <v>68</v>
      </c>
      <c r="B454" s="4">
        <f>C454/25000000</f>
        <v>23</v>
      </c>
      <c r="C454" s="5">
        <v>575000000</v>
      </c>
      <c r="D454" s="130"/>
    </row>
    <row r="455" spans="1:4" s="194" customFormat="1" ht="20.100000000000001" customHeight="1" x14ac:dyDescent="0.25">
      <c r="A455" s="3" t="s">
        <v>457</v>
      </c>
      <c r="B455" s="4"/>
      <c r="C455" s="5">
        <v>545358000</v>
      </c>
      <c r="D455" s="130"/>
    </row>
    <row r="456" spans="1:4" s="194" customFormat="1" ht="20.100000000000001" customHeight="1" x14ac:dyDescent="0.25">
      <c r="A456" s="206" t="s">
        <v>101</v>
      </c>
      <c r="B456" s="4"/>
      <c r="C456" s="2">
        <f>SUM(C457:C460)</f>
        <v>773400000</v>
      </c>
      <c r="D456" s="130"/>
    </row>
    <row r="457" spans="1:4" s="194" customFormat="1" ht="20.100000000000001" customHeight="1" x14ac:dyDescent="0.25">
      <c r="A457" s="3" t="s">
        <v>456</v>
      </c>
      <c r="B457" s="4"/>
      <c r="C457" s="5">
        <v>523400000</v>
      </c>
      <c r="D457" s="130"/>
    </row>
    <row r="458" spans="1:4" s="194" customFormat="1" ht="20.100000000000001" customHeight="1" x14ac:dyDescent="0.25">
      <c r="A458" s="3" t="s">
        <v>462</v>
      </c>
      <c r="B458" s="4"/>
      <c r="C458" s="5">
        <v>0</v>
      </c>
      <c r="D458" s="130"/>
    </row>
    <row r="459" spans="1:4" s="194" customFormat="1" ht="20.100000000000001" customHeight="1" x14ac:dyDescent="0.25">
      <c r="A459" s="3" t="s">
        <v>459</v>
      </c>
      <c r="B459" s="4"/>
      <c r="C459" s="5">
        <v>150000000</v>
      </c>
      <c r="D459" s="130"/>
    </row>
    <row r="460" spans="1:4" s="194" customFormat="1" ht="20.100000000000001" customHeight="1" x14ac:dyDescent="0.25">
      <c r="A460" s="3" t="s">
        <v>458</v>
      </c>
      <c r="B460" s="4"/>
      <c r="C460" s="5">
        <v>100000000</v>
      </c>
      <c r="D460" s="130"/>
    </row>
    <row r="461" spans="1:4" s="214" customFormat="1" ht="20.100000000000001" customHeight="1" x14ac:dyDescent="0.2">
      <c r="A461" s="221" t="s">
        <v>467</v>
      </c>
      <c r="B461" s="1"/>
      <c r="C461" s="2">
        <f>C462+C464+C467</f>
        <v>2889299000</v>
      </c>
      <c r="D461" s="128"/>
    </row>
    <row r="462" spans="1:4" s="194" customFormat="1" ht="20.100000000000001" customHeight="1" x14ac:dyDescent="0.25">
      <c r="A462" s="206" t="s">
        <v>13</v>
      </c>
      <c r="B462" s="4"/>
      <c r="C462" s="2">
        <f>C463</f>
        <v>1963114000</v>
      </c>
      <c r="D462" s="130"/>
    </row>
    <row r="463" spans="1:4" s="194" customFormat="1" ht="20.100000000000001" customHeight="1" x14ac:dyDescent="0.25">
      <c r="A463" s="3" t="s">
        <v>389</v>
      </c>
      <c r="B463" s="4"/>
      <c r="C463" s="5">
        <v>1963114000</v>
      </c>
      <c r="D463" s="130"/>
    </row>
    <row r="464" spans="1:4" s="194" customFormat="1" ht="20.100000000000001" customHeight="1" x14ac:dyDescent="0.25">
      <c r="A464" s="206" t="s">
        <v>16</v>
      </c>
      <c r="B464" s="4"/>
      <c r="C464" s="2">
        <f>C465+C466</f>
        <v>535335000</v>
      </c>
      <c r="D464" s="130"/>
    </row>
    <row r="465" spans="1:4" s="194" customFormat="1" ht="20.100000000000001" customHeight="1" x14ac:dyDescent="0.25">
      <c r="A465" s="3" t="s">
        <v>68</v>
      </c>
      <c r="B465" s="4">
        <f>C465/25000000</f>
        <v>11</v>
      </c>
      <c r="C465" s="5">
        <v>275000000</v>
      </c>
      <c r="D465" s="130"/>
    </row>
    <row r="466" spans="1:4" s="194" customFormat="1" ht="20.100000000000001" customHeight="1" x14ac:dyDescent="0.25">
      <c r="A466" s="3" t="s">
        <v>457</v>
      </c>
      <c r="B466" s="4"/>
      <c r="C466" s="5">
        <v>260335000</v>
      </c>
      <c r="D466" s="130"/>
    </row>
    <row r="467" spans="1:4" s="194" customFormat="1" ht="20.100000000000001" customHeight="1" x14ac:dyDescent="0.25">
      <c r="A467" s="206" t="s">
        <v>101</v>
      </c>
      <c r="B467" s="4"/>
      <c r="C467" s="2">
        <f>SUM(C468:C471)</f>
        <v>390850000</v>
      </c>
      <c r="D467" s="130"/>
    </row>
    <row r="468" spans="1:4" s="194" customFormat="1" ht="20.100000000000001" customHeight="1" x14ac:dyDescent="0.25">
      <c r="A468" s="3" t="s">
        <v>456</v>
      </c>
      <c r="B468" s="4"/>
      <c r="C468" s="5">
        <v>190850000</v>
      </c>
      <c r="D468" s="130"/>
    </row>
    <row r="469" spans="1:4" s="194" customFormat="1" ht="20.100000000000001" customHeight="1" x14ac:dyDescent="0.25">
      <c r="A469" s="3" t="s">
        <v>462</v>
      </c>
      <c r="B469" s="4"/>
      <c r="C469" s="5">
        <v>0</v>
      </c>
      <c r="D469" s="130"/>
    </row>
    <row r="470" spans="1:4" s="194" customFormat="1" ht="20.100000000000001" customHeight="1" x14ac:dyDescent="0.25">
      <c r="A470" s="3" t="s">
        <v>459</v>
      </c>
      <c r="B470" s="4"/>
      <c r="C470" s="5">
        <v>100000000</v>
      </c>
      <c r="D470" s="130"/>
    </row>
    <row r="471" spans="1:4" s="194" customFormat="1" ht="20.100000000000001" customHeight="1" x14ac:dyDescent="0.25">
      <c r="A471" s="3" t="s">
        <v>458</v>
      </c>
      <c r="B471" s="4"/>
      <c r="C471" s="5">
        <v>100000000</v>
      </c>
      <c r="D471" s="130"/>
    </row>
    <row r="472" spans="1:4" s="214" customFormat="1" ht="20.100000000000001" customHeight="1" x14ac:dyDescent="0.2">
      <c r="A472" s="221" t="s">
        <v>468</v>
      </c>
      <c r="B472" s="1"/>
      <c r="C472" s="2">
        <f>C473+C475+C478</f>
        <v>3793910000</v>
      </c>
      <c r="D472" s="128"/>
    </row>
    <row r="473" spans="1:4" s="194" customFormat="1" ht="20.100000000000001" customHeight="1" x14ac:dyDescent="0.25">
      <c r="A473" s="206" t="s">
        <v>13</v>
      </c>
      <c r="B473" s="4"/>
      <c r="C473" s="2">
        <f>C474</f>
        <v>2575743000</v>
      </c>
      <c r="D473" s="130"/>
    </row>
    <row r="474" spans="1:4" s="194" customFormat="1" ht="20.100000000000001" customHeight="1" x14ac:dyDescent="0.25">
      <c r="A474" s="3" t="s">
        <v>389</v>
      </c>
      <c r="B474" s="4"/>
      <c r="C474" s="5">
        <v>2575743000</v>
      </c>
      <c r="D474" s="130"/>
    </row>
    <row r="475" spans="1:4" s="194" customFormat="1" ht="20.100000000000001" customHeight="1" x14ac:dyDescent="0.25">
      <c r="A475" s="206" t="s">
        <v>16</v>
      </c>
      <c r="B475" s="4"/>
      <c r="C475" s="2">
        <f>C476+C477</f>
        <v>713667000</v>
      </c>
      <c r="D475" s="130"/>
    </row>
    <row r="476" spans="1:4" s="194" customFormat="1" ht="20.100000000000001" customHeight="1" x14ac:dyDescent="0.25">
      <c r="A476" s="3" t="s">
        <v>68</v>
      </c>
      <c r="B476" s="4">
        <f>C476/25000000</f>
        <v>15</v>
      </c>
      <c r="C476" s="5">
        <v>375000000</v>
      </c>
      <c r="D476" s="130"/>
    </row>
    <row r="477" spans="1:4" s="194" customFormat="1" ht="20.100000000000001" customHeight="1" x14ac:dyDescent="0.25">
      <c r="A477" s="3" t="s">
        <v>457</v>
      </c>
      <c r="B477" s="4"/>
      <c r="C477" s="5">
        <v>338667000</v>
      </c>
      <c r="D477" s="130"/>
    </row>
    <row r="478" spans="1:4" s="194" customFormat="1" ht="20.100000000000001" customHeight="1" x14ac:dyDescent="0.25">
      <c r="A478" s="206" t="s">
        <v>101</v>
      </c>
      <c r="B478" s="4"/>
      <c r="C478" s="2">
        <f>SUM(C479:C482)</f>
        <v>504500000</v>
      </c>
      <c r="D478" s="130"/>
    </row>
    <row r="479" spans="1:4" s="194" customFormat="1" ht="20.100000000000001" customHeight="1" x14ac:dyDescent="0.25">
      <c r="A479" s="3" t="s">
        <v>456</v>
      </c>
      <c r="B479" s="4"/>
      <c r="C479" s="5">
        <v>304500000</v>
      </c>
      <c r="D479" s="130"/>
    </row>
    <row r="480" spans="1:4" s="194" customFormat="1" ht="20.100000000000001" customHeight="1" x14ac:dyDescent="0.25">
      <c r="A480" s="3" t="s">
        <v>462</v>
      </c>
      <c r="B480" s="4"/>
      <c r="C480" s="5">
        <v>0</v>
      </c>
      <c r="D480" s="130"/>
    </row>
    <row r="481" spans="1:4" s="194" customFormat="1" ht="20.100000000000001" customHeight="1" x14ac:dyDescent="0.25">
      <c r="A481" s="3" t="s">
        <v>459</v>
      </c>
      <c r="B481" s="4"/>
      <c r="C481" s="5">
        <v>100000000</v>
      </c>
      <c r="D481" s="130"/>
    </row>
    <row r="482" spans="1:4" s="194" customFormat="1" ht="20.100000000000001" customHeight="1" x14ac:dyDescent="0.25">
      <c r="A482" s="3" t="s">
        <v>458</v>
      </c>
      <c r="B482" s="4"/>
      <c r="C482" s="5">
        <v>100000000</v>
      </c>
      <c r="D482" s="130"/>
    </row>
    <row r="483" spans="1:4" s="214" customFormat="1" ht="20.100000000000001" customHeight="1" x14ac:dyDescent="0.2">
      <c r="A483" s="221" t="s">
        <v>469</v>
      </c>
      <c r="B483" s="1"/>
      <c r="C483" s="2">
        <f>C484+C495</f>
        <v>8351560000</v>
      </c>
      <c r="D483" s="128"/>
    </row>
    <row r="484" spans="1:4" s="225" customFormat="1" ht="20.100000000000001" customHeight="1" x14ac:dyDescent="0.25">
      <c r="A484" s="224" t="s">
        <v>470</v>
      </c>
      <c r="B484" s="131"/>
      <c r="C484" s="132">
        <f>C485+C487+C490</f>
        <v>4753865000</v>
      </c>
      <c r="D484" s="133"/>
    </row>
    <row r="485" spans="1:4" s="194" customFormat="1" ht="20.100000000000001" customHeight="1" x14ac:dyDescent="0.25">
      <c r="A485" s="206" t="s">
        <v>13</v>
      </c>
      <c r="B485" s="4"/>
      <c r="C485" s="2">
        <f>C486</f>
        <v>3193756000</v>
      </c>
      <c r="D485" s="130"/>
    </row>
    <row r="486" spans="1:4" s="194" customFormat="1" ht="20.100000000000001" customHeight="1" x14ac:dyDescent="0.25">
      <c r="A486" s="3" t="s">
        <v>389</v>
      </c>
      <c r="B486" s="4"/>
      <c r="C486" s="5">
        <v>3193756000</v>
      </c>
      <c r="D486" s="130"/>
    </row>
    <row r="487" spans="1:4" s="194" customFormat="1" ht="20.100000000000001" customHeight="1" x14ac:dyDescent="0.25">
      <c r="A487" s="206" t="s">
        <v>16</v>
      </c>
      <c r="B487" s="4"/>
      <c r="C487" s="2">
        <f>C488+C489</f>
        <v>382725000</v>
      </c>
      <c r="D487" s="130"/>
    </row>
    <row r="488" spans="1:4" s="194" customFormat="1" ht="20.100000000000001" customHeight="1" x14ac:dyDescent="0.25">
      <c r="A488" s="3" t="s">
        <v>68</v>
      </c>
      <c r="B488" s="4">
        <f>C488/25000000</f>
        <v>12</v>
      </c>
      <c r="C488" s="5">
        <v>300000000</v>
      </c>
      <c r="D488" s="130"/>
    </row>
    <row r="489" spans="1:4" s="194" customFormat="1" ht="20.100000000000001" customHeight="1" x14ac:dyDescent="0.25">
      <c r="A489" s="3" t="s">
        <v>457</v>
      </c>
      <c r="B489" s="4"/>
      <c r="C489" s="5">
        <v>82725000</v>
      </c>
      <c r="D489" s="130"/>
    </row>
    <row r="490" spans="1:4" s="194" customFormat="1" ht="20.100000000000001" customHeight="1" x14ac:dyDescent="0.25">
      <c r="A490" s="206" t="s">
        <v>101</v>
      </c>
      <c r="B490" s="4"/>
      <c r="C490" s="2">
        <f>SUM(C491:C494)</f>
        <v>1177384000</v>
      </c>
      <c r="D490" s="130"/>
    </row>
    <row r="491" spans="1:4" s="194" customFormat="1" ht="20.100000000000001" customHeight="1" x14ac:dyDescent="0.25">
      <c r="A491" s="3" t="s">
        <v>471</v>
      </c>
      <c r="B491" s="4"/>
      <c r="C491" s="5">
        <v>863280000</v>
      </c>
      <c r="D491" s="130"/>
    </row>
    <row r="492" spans="1:4" s="194" customFormat="1" ht="20.100000000000001" customHeight="1" x14ac:dyDescent="0.25">
      <c r="A492" s="3" t="s">
        <v>462</v>
      </c>
      <c r="B492" s="4"/>
      <c r="C492" s="5">
        <v>14104000</v>
      </c>
      <c r="D492" s="130"/>
    </row>
    <row r="493" spans="1:4" s="194" customFormat="1" ht="20.100000000000001" customHeight="1" x14ac:dyDescent="0.25">
      <c r="A493" s="3" t="s">
        <v>459</v>
      </c>
      <c r="B493" s="4"/>
      <c r="C493" s="5">
        <v>200000000</v>
      </c>
      <c r="D493" s="130"/>
    </row>
    <row r="494" spans="1:4" s="194" customFormat="1" ht="20.100000000000001" customHeight="1" x14ac:dyDescent="0.25">
      <c r="A494" s="3" t="s">
        <v>458</v>
      </c>
      <c r="B494" s="4"/>
      <c r="C494" s="5">
        <v>100000000</v>
      </c>
      <c r="D494" s="130"/>
    </row>
    <row r="495" spans="1:4" s="225" customFormat="1" ht="20.100000000000001" customHeight="1" x14ac:dyDescent="0.25">
      <c r="A495" s="224" t="s">
        <v>472</v>
      </c>
      <c r="B495" s="131"/>
      <c r="C495" s="132">
        <f>C496+C498+C501</f>
        <v>3597695000</v>
      </c>
      <c r="D495" s="133"/>
    </row>
    <row r="496" spans="1:4" s="194" customFormat="1" ht="20.100000000000001" customHeight="1" x14ac:dyDescent="0.25">
      <c r="A496" s="206" t="s">
        <v>13</v>
      </c>
      <c r="B496" s="4"/>
      <c r="C496" s="2">
        <f>C497</f>
        <v>2893463000</v>
      </c>
      <c r="D496" s="130"/>
    </row>
    <row r="497" spans="1:4" s="194" customFormat="1" ht="20.100000000000001" customHeight="1" x14ac:dyDescent="0.25">
      <c r="A497" s="3" t="s">
        <v>389</v>
      </c>
      <c r="B497" s="4"/>
      <c r="C497" s="5">
        <v>2893463000</v>
      </c>
      <c r="D497" s="130"/>
    </row>
    <row r="498" spans="1:4" s="194" customFormat="1" ht="20.100000000000001" customHeight="1" x14ac:dyDescent="0.25">
      <c r="A498" s="206" t="s">
        <v>16</v>
      </c>
      <c r="B498" s="4"/>
      <c r="C498" s="2">
        <f>C499+C500</f>
        <v>300000000</v>
      </c>
      <c r="D498" s="130"/>
    </row>
    <row r="499" spans="1:4" s="194" customFormat="1" ht="20.100000000000001" customHeight="1" x14ac:dyDescent="0.25">
      <c r="A499" s="3" t="s">
        <v>68</v>
      </c>
      <c r="B499" s="4">
        <f>C499/25000000</f>
        <v>12</v>
      </c>
      <c r="C499" s="5">
        <v>300000000</v>
      </c>
      <c r="D499" s="130"/>
    </row>
    <row r="500" spans="1:4" s="194" customFormat="1" ht="20.100000000000001" customHeight="1" x14ac:dyDescent="0.25">
      <c r="A500" s="3" t="s">
        <v>457</v>
      </c>
      <c r="B500" s="4"/>
      <c r="C500" s="5">
        <v>0</v>
      </c>
      <c r="D500" s="130"/>
    </row>
    <row r="501" spans="1:4" s="194" customFormat="1" ht="20.100000000000001" customHeight="1" x14ac:dyDescent="0.25">
      <c r="A501" s="206" t="s">
        <v>101</v>
      </c>
      <c r="B501" s="4"/>
      <c r="C501" s="2">
        <f>SUM(C502:C505)</f>
        <v>404232000</v>
      </c>
      <c r="D501" s="130"/>
    </row>
    <row r="502" spans="1:4" s="194" customFormat="1" ht="20.100000000000001" customHeight="1" x14ac:dyDescent="0.25">
      <c r="A502" s="3" t="s">
        <v>471</v>
      </c>
      <c r="B502" s="4"/>
      <c r="C502" s="5">
        <v>404232000</v>
      </c>
      <c r="D502" s="130"/>
    </row>
    <row r="503" spans="1:4" s="194" customFormat="1" ht="20.100000000000001" customHeight="1" x14ac:dyDescent="0.25">
      <c r="A503" s="3" t="s">
        <v>462</v>
      </c>
      <c r="B503" s="4"/>
      <c r="C503" s="5">
        <v>0</v>
      </c>
      <c r="D503" s="130"/>
    </row>
    <row r="504" spans="1:4" s="194" customFormat="1" ht="20.100000000000001" customHeight="1" x14ac:dyDescent="0.25">
      <c r="A504" s="3" t="s">
        <v>459</v>
      </c>
      <c r="B504" s="4"/>
      <c r="C504" s="5">
        <v>0</v>
      </c>
      <c r="D504" s="130"/>
    </row>
    <row r="505" spans="1:4" s="194" customFormat="1" ht="20.100000000000001" customHeight="1" x14ac:dyDescent="0.25">
      <c r="A505" s="3" t="s">
        <v>458</v>
      </c>
      <c r="B505" s="4"/>
      <c r="C505" s="5">
        <v>0</v>
      </c>
      <c r="D505" s="130"/>
    </row>
    <row r="506" spans="1:4" s="214" customFormat="1" ht="20.100000000000001" customHeight="1" x14ac:dyDescent="0.2">
      <c r="A506" s="221" t="s">
        <v>473</v>
      </c>
      <c r="B506" s="1"/>
      <c r="C506" s="2">
        <f>C507+C518</f>
        <v>10457909000</v>
      </c>
      <c r="D506" s="128"/>
    </row>
    <row r="507" spans="1:4" s="225" customFormat="1" ht="20.100000000000001" customHeight="1" x14ac:dyDescent="0.25">
      <c r="A507" s="224" t="s">
        <v>470</v>
      </c>
      <c r="B507" s="131"/>
      <c r="C507" s="132">
        <f>C508+C510+C513</f>
        <v>5960119000</v>
      </c>
      <c r="D507" s="133"/>
    </row>
    <row r="508" spans="1:4" s="194" customFormat="1" ht="20.100000000000001" customHeight="1" x14ac:dyDescent="0.25">
      <c r="A508" s="206" t="s">
        <v>13</v>
      </c>
      <c r="B508" s="4"/>
      <c r="C508" s="2">
        <f>C509</f>
        <v>4275768000</v>
      </c>
      <c r="D508" s="130"/>
    </row>
    <row r="509" spans="1:4" s="194" customFormat="1" ht="20.100000000000001" customHeight="1" x14ac:dyDescent="0.25">
      <c r="A509" s="3" t="s">
        <v>389</v>
      </c>
      <c r="B509" s="4"/>
      <c r="C509" s="5">
        <v>4275768000</v>
      </c>
      <c r="D509" s="130"/>
    </row>
    <row r="510" spans="1:4" s="194" customFormat="1" ht="20.100000000000001" customHeight="1" x14ac:dyDescent="0.25">
      <c r="A510" s="206" t="s">
        <v>16</v>
      </c>
      <c r="B510" s="4"/>
      <c r="C510" s="2">
        <f>C511+C512</f>
        <v>505303000</v>
      </c>
      <c r="D510" s="130"/>
    </row>
    <row r="511" spans="1:4" s="194" customFormat="1" ht="20.100000000000001" customHeight="1" x14ac:dyDescent="0.25">
      <c r="A511" s="3" t="s">
        <v>68</v>
      </c>
      <c r="B511" s="4">
        <f>C511/25000000</f>
        <v>17</v>
      </c>
      <c r="C511" s="5">
        <v>425000000</v>
      </c>
      <c r="D511" s="130"/>
    </row>
    <row r="512" spans="1:4" s="194" customFormat="1" ht="20.100000000000001" customHeight="1" x14ac:dyDescent="0.25">
      <c r="A512" s="3" t="s">
        <v>457</v>
      </c>
      <c r="B512" s="4"/>
      <c r="C512" s="5">
        <v>80303000</v>
      </c>
      <c r="D512" s="130"/>
    </row>
    <row r="513" spans="1:4" s="194" customFormat="1" ht="20.100000000000001" customHeight="1" x14ac:dyDescent="0.25">
      <c r="A513" s="206" t="s">
        <v>101</v>
      </c>
      <c r="B513" s="4"/>
      <c r="C513" s="2">
        <f>SUM(C514:C517)</f>
        <v>1179048000</v>
      </c>
      <c r="D513" s="130"/>
    </row>
    <row r="514" spans="1:4" s="194" customFormat="1" ht="20.100000000000001" customHeight="1" x14ac:dyDescent="0.25">
      <c r="A514" s="3" t="s">
        <v>471</v>
      </c>
      <c r="B514" s="4"/>
      <c r="C514" s="5">
        <v>841608000</v>
      </c>
      <c r="D514" s="130"/>
    </row>
    <row r="515" spans="1:4" s="194" customFormat="1" ht="20.100000000000001" customHeight="1" x14ac:dyDescent="0.25">
      <c r="A515" s="3" t="s">
        <v>462</v>
      </c>
      <c r="B515" s="4"/>
      <c r="C515" s="5">
        <v>37440000</v>
      </c>
      <c r="D515" s="130"/>
    </row>
    <row r="516" spans="1:4" s="194" customFormat="1" ht="20.100000000000001" customHeight="1" x14ac:dyDescent="0.25">
      <c r="A516" s="3" t="s">
        <v>459</v>
      </c>
      <c r="B516" s="4"/>
      <c r="C516" s="5">
        <v>200000000</v>
      </c>
      <c r="D516" s="130"/>
    </row>
    <row r="517" spans="1:4" s="194" customFormat="1" ht="20.100000000000001" customHeight="1" x14ac:dyDescent="0.25">
      <c r="A517" s="3" t="s">
        <v>458</v>
      </c>
      <c r="B517" s="4"/>
      <c r="C517" s="5">
        <v>100000000</v>
      </c>
      <c r="D517" s="130"/>
    </row>
    <row r="518" spans="1:4" s="225" customFormat="1" ht="20.100000000000001" customHeight="1" x14ac:dyDescent="0.25">
      <c r="A518" s="224" t="s">
        <v>472</v>
      </c>
      <c r="B518" s="131"/>
      <c r="C518" s="132">
        <f>C519+C521+C524</f>
        <v>4497790000</v>
      </c>
      <c r="D518" s="133"/>
    </row>
    <row r="519" spans="1:4" s="194" customFormat="1" ht="20.100000000000001" customHeight="1" x14ac:dyDescent="0.25">
      <c r="A519" s="206" t="s">
        <v>13</v>
      </c>
      <c r="B519" s="4"/>
      <c r="C519" s="2">
        <f>C520</f>
        <v>3544470000</v>
      </c>
      <c r="D519" s="130"/>
    </row>
    <row r="520" spans="1:4" s="194" customFormat="1" ht="20.100000000000001" customHeight="1" x14ac:dyDescent="0.25">
      <c r="A520" s="3" t="s">
        <v>389</v>
      </c>
      <c r="B520" s="4"/>
      <c r="C520" s="5">
        <v>3544470000</v>
      </c>
      <c r="D520" s="130"/>
    </row>
    <row r="521" spans="1:4" s="194" customFormat="1" ht="20.100000000000001" customHeight="1" x14ac:dyDescent="0.25">
      <c r="A521" s="206" t="s">
        <v>16</v>
      </c>
      <c r="B521" s="4"/>
      <c r="C521" s="2">
        <f>C522+C523</f>
        <v>400000000</v>
      </c>
      <c r="D521" s="130"/>
    </row>
    <row r="522" spans="1:4" s="194" customFormat="1" ht="20.100000000000001" customHeight="1" x14ac:dyDescent="0.25">
      <c r="A522" s="3" t="s">
        <v>68</v>
      </c>
      <c r="B522" s="4">
        <f>C522/25000000</f>
        <v>16</v>
      </c>
      <c r="C522" s="5">
        <v>400000000</v>
      </c>
      <c r="D522" s="130"/>
    </row>
    <row r="523" spans="1:4" s="194" customFormat="1" ht="20.100000000000001" customHeight="1" x14ac:dyDescent="0.25">
      <c r="A523" s="3" t="s">
        <v>457</v>
      </c>
      <c r="B523" s="4"/>
      <c r="C523" s="5">
        <v>0</v>
      </c>
      <c r="D523" s="130"/>
    </row>
    <row r="524" spans="1:4" s="194" customFormat="1" ht="20.100000000000001" customHeight="1" x14ac:dyDescent="0.25">
      <c r="A524" s="206" t="s">
        <v>101</v>
      </c>
      <c r="B524" s="4"/>
      <c r="C524" s="2">
        <f>SUM(C525:C528)</f>
        <v>553320000</v>
      </c>
      <c r="D524" s="130"/>
    </row>
    <row r="525" spans="1:4" s="194" customFormat="1" ht="20.100000000000001" customHeight="1" x14ac:dyDescent="0.25">
      <c r="A525" s="3" t="s">
        <v>471</v>
      </c>
      <c r="B525" s="4"/>
      <c r="C525" s="5">
        <v>540216000</v>
      </c>
      <c r="D525" s="130"/>
    </row>
    <row r="526" spans="1:4" s="194" customFormat="1" ht="20.100000000000001" customHeight="1" x14ac:dyDescent="0.25">
      <c r="A526" s="3" t="s">
        <v>462</v>
      </c>
      <c r="B526" s="4"/>
      <c r="C526" s="5">
        <v>13104000</v>
      </c>
      <c r="D526" s="130"/>
    </row>
    <row r="527" spans="1:4" s="194" customFormat="1" ht="20.100000000000001" customHeight="1" x14ac:dyDescent="0.25">
      <c r="A527" s="3" t="s">
        <v>459</v>
      </c>
      <c r="B527" s="4"/>
      <c r="C527" s="5">
        <v>0</v>
      </c>
      <c r="D527" s="130"/>
    </row>
    <row r="528" spans="1:4" s="194" customFormat="1" ht="20.100000000000001" customHeight="1" x14ac:dyDescent="0.25">
      <c r="A528" s="3" t="s">
        <v>458</v>
      </c>
      <c r="B528" s="4"/>
      <c r="C528" s="5">
        <v>0</v>
      </c>
      <c r="D528" s="130"/>
    </row>
    <row r="529" spans="1:4" s="214" customFormat="1" ht="20.100000000000001" customHeight="1" x14ac:dyDescent="0.2">
      <c r="A529" s="221" t="s">
        <v>474</v>
      </c>
      <c r="B529" s="1"/>
      <c r="C529" s="2">
        <f>C530+C541</f>
        <v>10639984000</v>
      </c>
      <c r="D529" s="128"/>
    </row>
    <row r="530" spans="1:4" s="225" customFormat="1" ht="20.100000000000001" customHeight="1" x14ac:dyDescent="0.25">
      <c r="A530" s="224" t="s">
        <v>470</v>
      </c>
      <c r="B530" s="131"/>
      <c r="C530" s="132">
        <f>C531+C533+C536</f>
        <v>5604834000</v>
      </c>
      <c r="D530" s="133"/>
    </row>
    <row r="531" spans="1:4" s="194" customFormat="1" ht="20.100000000000001" customHeight="1" x14ac:dyDescent="0.25">
      <c r="A531" s="206" t="s">
        <v>13</v>
      </c>
      <c r="B531" s="4"/>
      <c r="C531" s="2">
        <f>C532</f>
        <v>3866417000</v>
      </c>
      <c r="D531" s="130"/>
    </row>
    <row r="532" spans="1:4" s="194" customFormat="1" ht="20.100000000000001" customHeight="1" x14ac:dyDescent="0.25">
      <c r="A532" s="3" t="s">
        <v>389</v>
      </c>
      <c r="B532" s="4"/>
      <c r="C532" s="5">
        <v>3866417000</v>
      </c>
      <c r="D532" s="130"/>
    </row>
    <row r="533" spans="1:4" s="194" customFormat="1" ht="20.100000000000001" customHeight="1" x14ac:dyDescent="0.25">
      <c r="A533" s="206" t="s">
        <v>16</v>
      </c>
      <c r="B533" s="4"/>
      <c r="C533" s="2">
        <f>C534+C535</f>
        <v>462705000</v>
      </c>
      <c r="D533" s="130"/>
    </row>
    <row r="534" spans="1:4" s="194" customFormat="1" ht="20.100000000000001" customHeight="1" x14ac:dyDescent="0.25">
      <c r="A534" s="3" t="s">
        <v>68</v>
      </c>
      <c r="B534" s="4">
        <f>C534/25000000</f>
        <v>14</v>
      </c>
      <c r="C534" s="5">
        <v>350000000</v>
      </c>
      <c r="D534" s="130"/>
    </row>
    <row r="535" spans="1:4" s="194" customFormat="1" ht="20.100000000000001" customHeight="1" x14ac:dyDescent="0.25">
      <c r="A535" s="3" t="s">
        <v>457</v>
      </c>
      <c r="B535" s="4"/>
      <c r="C535" s="5">
        <v>112705000</v>
      </c>
      <c r="D535" s="130"/>
    </row>
    <row r="536" spans="1:4" s="194" customFormat="1" ht="20.100000000000001" customHeight="1" x14ac:dyDescent="0.25">
      <c r="A536" s="206" t="s">
        <v>101</v>
      </c>
      <c r="B536" s="4"/>
      <c r="C536" s="2">
        <f>SUM(C537:C540)</f>
        <v>1275712000</v>
      </c>
      <c r="D536" s="130"/>
    </row>
    <row r="537" spans="1:4" s="194" customFormat="1" ht="20.100000000000001" customHeight="1" x14ac:dyDescent="0.25">
      <c r="A537" s="3" t="s">
        <v>471</v>
      </c>
      <c r="B537" s="4"/>
      <c r="C537" s="5">
        <v>945504000</v>
      </c>
      <c r="D537" s="130"/>
    </row>
    <row r="538" spans="1:4" s="194" customFormat="1" ht="20.100000000000001" customHeight="1" x14ac:dyDescent="0.25">
      <c r="A538" s="3" t="s">
        <v>462</v>
      </c>
      <c r="B538" s="4"/>
      <c r="C538" s="5">
        <v>30208000</v>
      </c>
      <c r="D538" s="130"/>
    </row>
    <row r="539" spans="1:4" s="194" customFormat="1" ht="20.100000000000001" customHeight="1" x14ac:dyDescent="0.25">
      <c r="A539" s="3" t="s">
        <v>459</v>
      </c>
      <c r="B539" s="4"/>
      <c r="C539" s="5">
        <v>200000000</v>
      </c>
      <c r="D539" s="130"/>
    </row>
    <row r="540" spans="1:4" s="194" customFormat="1" ht="20.100000000000001" customHeight="1" x14ac:dyDescent="0.25">
      <c r="A540" s="3" t="s">
        <v>458</v>
      </c>
      <c r="B540" s="4"/>
      <c r="C540" s="5">
        <v>100000000</v>
      </c>
      <c r="D540" s="130"/>
    </row>
    <row r="541" spans="1:4" s="225" customFormat="1" ht="20.100000000000001" customHeight="1" x14ac:dyDescent="0.25">
      <c r="A541" s="224" t="s">
        <v>472</v>
      </c>
      <c r="B541" s="131"/>
      <c r="C541" s="132">
        <f>C542+C544+C547</f>
        <v>5035150000</v>
      </c>
      <c r="D541" s="133"/>
    </row>
    <row r="542" spans="1:4" s="194" customFormat="1" ht="20.100000000000001" customHeight="1" x14ac:dyDescent="0.25">
      <c r="A542" s="206" t="s">
        <v>13</v>
      </c>
      <c r="B542" s="4"/>
      <c r="C542" s="2">
        <f>C543</f>
        <v>4010246000</v>
      </c>
      <c r="D542" s="130"/>
    </row>
    <row r="543" spans="1:4" s="194" customFormat="1" ht="20.100000000000001" customHeight="1" x14ac:dyDescent="0.25">
      <c r="A543" s="3" t="s">
        <v>389</v>
      </c>
      <c r="B543" s="4"/>
      <c r="C543" s="5">
        <v>4010246000</v>
      </c>
      <c r="D543" s="130"/>
    </row>
    <row r="544" spans="1:4" s="194" customFormat="1" ht="20.100000000000001" customHeight="1" x14ac:dyDescent="0.25">
      <c r="A544" s="206" t="s">
        <v>16</v>
      </c>
      <c r="B544" s="4"/>
      <c r="C544" s="2">
        <f>C545+C546</f>
        <v>400000000</v>
      </c>
      <c r="D544" s="130"/>
    </row>
    <row r="545" spans="1:4" s="194" customFormat="1" ht="20.100000000000001" customHeight="1" x14ac:dyDescent="0.25">
      <c r="A545" s="3" t="s">
        <v>68</v>
      </c>
      <c r="B545" s="4">
        <f>C545/25000000</f>
        <v>16</v>
      </c>
      <c r="C545" s="5">
        <v>400000000</v>
      </c>
      <c r="D545" s="130"/>
    </row>
    <row r="546" spans="1:4" s="194" customFormat="1" ht="20.100000000000001" customHeight="1" x14ac:dyDescent="0.25">
      <c r="A546" s="3" t="s">
        <v>457</v>
      </c>
      <c r="B546" s="4"/>
      <c r="C546" s="5">
        <v>0</v>
      </c>
      <c r="D546" s="130"/>
    </row>
    <row r="547" spans="1:4" s="194" customFormat="1" ht="20.100000000000001" customHeight="1" x14ac:dyDescent="0.25">
      <c r="A547" s="206" t="s">
        <v>101</v>
      </c>
      <c r="B547" s="4"/>
      <c r="C547" s="2">
        <f>SUM(C548:C551)</f>
        <v>624904000</v>
      </c>
      <c r="D547" s="130"/>
    </row>
    <row r="548" spans="1:4" s="194" customFormat="1" ht="20.100000000000001" customHeight="1" x14ac:dyDescent="0.25">
      <c r="A548" s="3" t="s">
        <v>471</v>
      </c>
      <c r="B548" s="4"/>
      <c r="C548" s="5">
        <v>539280000</v>
      </c>
      <c r="D548" s="130"/>
    </row>
    <row r="549" spans="1:4" s="194" customFormat="1" ht="20.100000000000001" customHeight="1" x14ac:dyDescent="0.25">
      <c r="A549" s="3" t="s">
        <v>462</v>
      </c>
      <c r="B549" s="4"/>
      <c r="C549" s="5">
        <v>85624000</v>
      </c>
      <c r="D549" s="130"/>
    </row>
    <row r="550" spans="1:4" s="194" customFormat="1" ht="20.100000000000001" customHeight="1" x14ac:dyDescent="0.25">
      <c r="A550" s="3" t="s">
        <v>459</v>
      </c>
      <c r="B550" s="4"/>
      <c r="C550" s="5">
        <v>0</v>
      </c>
      <c r="D550" s="130"/>
    </row>
    <row r="551" spans="1:4" s="194" customFormat="1" ht="20.100000000000001" customHeight="1" x14ac:dyDescent="0.25">
      <c r="A551" s="3" t="s">
        <v>458</v>
      </c>
      <c r="B551" s="4"/>
      <c r="C551" s="5">
        <v>0</v>
      </c>
      <c r="D551" s="130"/>
    </row>
    <row r="552" spans="1:4" s="214" customFormat="1" ht="20.100000000000001" customHeight="1" x14ac:dyDescent="0.2">
      <c r="A552" s="221" t="s">
        <v>475</v>
      </c>
      <c r="B552" s="1"/>
      <c r="C552" s="2">
        <f>C553+C564</f>
        <v>17447827000</v>
      </c>
      <c r="D552" s="128"/>
    </row>
    <row r="553" spans="1:4" s="225" customFormat="1" ht="20.100000000000001" customHeight="1" x14ac:dyDescent="0.25">
      <c r="A553" s="224" t="s">
        <v>470</v>
      </c>
      <c r="B553" s="131"/>
      <c r="C553" s="132">
        <f>C554+C556+C559</f>
        <v>9678348000</v>
      </c>
      <c r="D553" s="133"/>
    </row>
    <row r="554" spans="1:4" s="194" customFormat="1" ht="20.100000000000001" customHeight="1" x14ac:dyDescent="0.25">
      <c r="A554" s="206" t="s">
        <v>13</v>
      </c>
      <c r="B554" s="4"/>
      <c r="C554" s="2">
        <f>C555</f>
        <v>7565473000</v>
      </c>
      <c r="D554" s="130"/>
    </row>
    <row r="555" spans="1:4" s="194" customFormat="1" ht="20.100000000000001" customHeight="1" x14ac:dyDescent="0.25">
      <c r="A555" s="3" t="s">
        <v>389</v>
      </c>
      <c r="B555" s="4"/>
      <c r="C555" s="5">
        <v>7565473000</v>
      </c>
      <c r="D555" s="130"/>
    </row>
    <row r="556" spans="1:4" s="194" customFormat="1" ht="20.100000000000001" customHeight="1" x14ac:dyDescent="0.25">
      <c r="A556" s="206" t="s">
        <v>16</v>
      </c>
      <c r="B556" s="4"/>
      <c r="C556" s="2">
        <f>C557+C558</f>
        <v>800367000</v>
      </c>
      <c r="D556" s="130"/>
    </row>
    <row r="557" spans="1:4" s="194" customFormat="1" ht="20.100000000000001" customHeight="1" x14ac:dyDescent="0.25">
      <c r="A557" s="3" t="s">
        <v>68</v>
      </c>
      <c r="B557" s="4">
        <f>C557/25000000</f>
        <v>29</v>
      </c>
      <c r="C557" s="5">
        <v>725000000</v>
      </c>
      <c r="D557" s="130"/>
    </row>
    <row r="558" spans="1:4" s="194" customFormat="1" ht="20.100000000000001" customHeight="1" x14ac:dyDescent="0.25">
      <c r="A558" s="3" t="s">
        <v>457</v>
      </c>
      <c r="B558" s="4"/>
      <c r="C558" s="5">
        <v>75367000</v>
      </c>
      <c r="D558" s="130"/>
    </row>
    <row r="559" spans="1:4" s="194" customFormat="1" ht="20.100000000000001" customHeight="1" x14ac:dyDescent="0.25">
      <c r="A559" s="206" t="s">
        <v>101</v>
      </c>
      <c r="B559" s="4"/>
      <c r="C559" s="2">
        <f>SUM(C560:C563)</f>
        <v>1312508000</v>
      </c>
      <c r="D559" s="130"/>
    </row>
    <row r="560" spans="1:4" s="194" customFormat="1" ht="20.100000000000001" customHeight="1" x14ac:dyDescent="0.25">
      <c r="A560" s="3" t="s">
        <v>471</v>
      </c>
      <c r="B560" s="4"/>
      <c r="C560" s="5">
        <v>1013580000</v>
      </c>
      <c r="D560" s="130"/>
    </row>
    <row r="561" spans="1:4" s="194" customFormat="1" ht="20.100000000000001" customHeight="1" x14ac:dyDescent="0.25">
      <c r="A561" s="3" t="s">
        <v>462</v>
      </c>
      <c r="B561" s="4"/>
      <c r="C561" s="5">
        <v>48928000</v>
      </c>
      <c r="D561" s="130"/>
    </row>
    <row r="562" spans="1:4" s="194" customFormat="1" ht="20.100000000000001" customHeight="1" x14ac:dyDescent="0.25">
      <c r="A562" s="3" t="s">
        <v>459</v>
      </c>
      <c r="B562" s="4"/>
      <c r="C562" s="5">
        <v>200000000</v>
      </c>
      <c r="D562" s="130"/>
    </row>
    <row r="563" spans="1:4" s="194" customFormat="1" ht="20.100000000000001" customHeight="1" x14ac:dyDescent="0.25">
      <c r="A563" s="3" t="s">
        <v>458</v>
      </c>
      <c r="B563" s="4"/>
      <c r="C563" s="5">
        <v>50000000</v>
      </c>
      <c r="D563" s="130"/>
    </row>
    <row r="564" spans="1:4" s="225" customFormat="1" ht="20.100000000000001" customHeight="1" x14ac:dyDescent="0.25">
      <c r="A564" s="224" t="s">
        <v>472</v>
      </c>
      <c r="B564" s="131"/>
      <c r="C564" s="132">
        <f>C565+C567+C570</f>
        <v>7769479000</v>
      </c>
      <c r="D564" s="133"/>
    </row>
    <row r="565" spans="1:4" s="194" customFormat="1" ht="20.100000000000001" customHeight="1" x14ac:dyDescent="0.25">
      <c r="A565" s="206" t="s">
        <v>13</v>
      </c>
      <c r="B565" s="4"/>
      <c r="C565" s="2">
        <f>C566</f>
        <v>6362063000</v>
      </c>
      <c r="D565" s="130"/>
    </row>
    <row r="566" spans="1:4" s="194" customFormat="1" ht="20.100000000000001" customHeight="1" x14ac:dyDescent="0.25">
      <c r="A566" s="3" t="s">
        <v>389</v>
      </c>
      <c r="B566" s="4"/>
      <c r="C566" s="5">
        <v>6362063000</v>
      </c>
      <c r="D566" s="130"/>
    </row>
    <row r="567" spans="1:4" s="194" customFormat="1" ht="20.100000000000001" customHeight="1" x14ac:dyDescent="0.25">
      <c r="A567" s="206" t="s">
        <v>16</v>
      </c>
      <c r="B567" s="4"/>
      <c r="C567" s="2">
        <f>C568+C569</f>
        <v>600000000</v>
      </c>
      <c r="D567" s="130"/>
    </row>
    <row r="568" spans="1:4" s="194" customFormat="1" ht="20.100000000000001" customHeight="1" x14ac:dyDescent="0.25">
      <c r="A568" s="3" t="s">
        <v>68</v>
      </c>
      <c r="B568" s="4">
        <f>C568/25000000</f>
        <v>24</v>
      </c>
      <c r="C568" s="5">
        <v>600000000</v>
      </c>
      <c r="D568" s="130"/>
    </row>
    <row r="569" spans="1:4" s="194" customFormat="1" ht="20.100000000000001" customHeight="1" x14ac:dyDescent="0.25">
      <c r="A569" s="3" t="s">
        <v>457</v>
      </c>
      <c r="B569" s="4"/>
      <c r="C569" s="5">
        <v>0</v>
      </c>
      <c r="D569" s="130"/>
    </row>
    <row r="570" spans="1:4" s="194" customFormat="1" ht="20.100000000000001" customHeight="1" x14ac:dyDescent="0.25">
      <c r="A570" s="206" t="s">
        <v>101</v>
      </c>
      <c r="B570" s="4"/>
      <c r="C570" s="2">
        <f>SUM(C571:C574)</f>
        <v>807416000</v>
      </c>
      <c r="D570" s="130"/>
    </row>
    <row r="571" spans="1:4" s="194" customFormat="1" ht="20.100000000000001" customHeight="1" x14ac:dyDescent="0.25">
      <c r="A571" s="3" t="s">
        <v>471</v>
      </c>
      <c r="B571" s="4"/>
      <c r="C571" s="5">
        <v>720720000</v>
      </c>
      <c r="D571" s="130"/>
    </row>
    <row r="572" spans="1:4" s="194" customFormat="1" ht="20.100000000000001" customHeight="1" x14ac:dyDescent="0.25">
      <c r="A572" s="3" t="s">
        <v>462</v>
      </c>
      <c r="B572" s="4"/>
      <c r="C572" s="5">
        <v>36696000</v>
      </c>
      <c r="D572" s="130"/>
    </row>
    <row r="573" spans="1:4" s="194" customFormat="1" ht="20.100000000000001" customHeight="1" x14ac:dyDescent="0.25">
      <c r="A573" s="3" t="s">
        <v>459</v>
      </c>
      <c r="B573" s="4"/>
      <c r="C573" s="5">
        <v>0</v>
      </c>
      <c r="D573" s="130"/>
    </row>
    <row r="574" spans="1:4" s="194" customFormat="1" ht="20.100000000000001" customHeight="1" x14ac:dyDescent="0.25">
      <c r="A574" s="3" t="s">
        <v>458</v>
      </c>
      <c r="B574" s="4"/>
      <c r="C574" s="5">
        <v>50000000</v>
      </c>
      <c r="D574" s="130"/>
    </row>
    <row r="575" spans="1:4" s="214" customFormat="1" ht="20.100000000000001" customHeight="1" x14ac:dyDescent="0.2">
      <c r="A575" s="221" t="s">
        <v>476</v>
      </c>
      <c r="B575" s="1"/>
      <c r="C575" s="2">
        <f>C576+C587</f>
        <v>18603383000</v>
      </c>
      <c r="D575" s="128"/>
    </row>
    <row r="576" spans="1:4" s="225" customFormat="1" ht="20.100000000000001" customHeight="1" x14ac:dyDescent="0.25">
      <c r="A576" s="224" t="s">
        <v>470</v>
      </c>
      <c r="B576" s="131"/>
      <c r="C576" s="132">
        <f>C577+C579+C582</f>
        <v>12161371000</v>
      </c>
      <c r="D576" s="133"/>
    </row>
    <row r="577" spans="1:4" s="194" customFormat="1" ht="20.100000000000001" customHeight="1" x14ac:dyDescent="0.25">
      <c r="A577" s="206" t="s">
        <v>13</v>
      </c>
      <c r="B577" s="4"/>
      <c r="C577" s="2">
        <f>C578</f>
        <v>9291474000</v>
      </c>
      <c r="D577" s="130"/>
    </row>
    <row r="578" spans="1:4" s="194" customFormat="1" ht="20.100000000000001" customHeight="1" x14ac:dyDescent="0.25">
      <c r="A578" s="3" t="s">
        <v>389</v>
      </c>
      <c r="B578" s="4"/>
      <c r="C578" s="5">
        <v>9291474000</v>
      </c>
      <c r="D578" s="130"/>
    </row>
    <row r="579" spans="1:4" s="194" customFormat="1" ht="20.100000000000001" customHeight="1" x14ac:dyDescent="0.25">
      <c r="A579" s="206" t="s">
        <v>16</v>
      </c>
      <c r="B579" s="4"/>
      <c r="C579" s="2">
        <f>C580+C581</f>
        <v>991257000</v>
      </c>
      <c r="D579" s="130"/>
    </row>
    <row r="580" spans="1:4" s="194" customFormat="1" ht="20.100000000000001" customHeight="1" x14ac:dyDescent="0.25">
      <c r="A580" s="3" t="s">
        <v>68</v>
      </c>
      <c r="B580" s="4">
        <f>C580/25000000</f>
        <v>34</v>
      </c>
      <c r="C580" s="5">
        <v>850000000</v>
      </c>
      <c r="D580" s="130"/>
    </row>
    <row r="581" spans="1:4" s="194" customFormat="1" ht="20.100000000000001" customHeight="1" x14ac:dyDescent="0.25">
      <c r="A581" s="3" t="s">
        <v>457</v>
      </c>
      <c r="B581" s="4"/>
      <c r="C581" s="5">
        <v>141257000</v>
      </c>
      <c r="D581" s="130"/>
    </row>
    <row r="582" spans="1:4" s="194" customFormat="1" ht="20.100000000000001" customHeight="1" x14ac:dyDescent="0.25">
      <c r="A582" s="206" t="s">
        <v>101</v>
      </c>
      <c r="B582" s="4"/>
      <c r="C582" s="2">
        <f>SUM(C583:C586)</f>
        <v>1878640000</v>
      </c>
      <c r="D582" s="130"/>
    </row>
    <row r="583" spans="1:4" s="194" customFormat="1" ht="20.100000000000001" customHeight="1" x14ac:dyDescent="0.25">
      <c r="A583" s="3" t="s">
        <v>471</v>
      </c>
      <c r="B583" s="4"/>
      <c r="C583" s="5">
        <v>1383300000</v>
      </c>
      <c r="D583" s="130"/>
    </row>
    <row r="584" spans="1:4" s="194" customFormat="1" ht="20.100000000000001" customHeight="1" x14ac:dyDescent="0.25">
      <c r="A584" s="3" t="s">
        <v>462</v>
      </c>
      <c r="B584" s="4"/>
      <c r="C584" s="5">
        <v>195340000</v>
      </c>
      <c r="D584" s="130"/>
    </row>
    <row r="585" spans="1:4" s="194" customFormat="1" ht="20.100000000000001" customHeight="1" x14ac:dyDescent="0.25">
      <c r="A585" s="3" t="s">
        <v>459</v>
      </c>
      <c r="B585" s="4"/>
      <c r="C585" s="5">
        <v>200000000</v>
      </c>
      <c r="D585" s="130"/>
    </row>
    <row r="586" spans="1:4" s="194" customFormat="1" ht="20.100000000000001" customHeight="1" x14ac:dyDescent="0.25">
      <c r="A586" s="3" t="s">
        <v>458</v>
      </c>
      <c r="B586" s="4"/>
      <c r="C586" s="5">
        <v>100000000</v>
      </c>
      <c r="D586" s="130"/>
    </row>
    <row r="587" spans="1:4" s="225" customFormat="1" ht="20.100000000000001" customHeight="1" x14ac:dyDescent="0.25">
      <c r="A587" s="224" t="s">
        <v>472</v>
      </c>
      <c r="B587" s="131"/>
      <c r="C587" s="132">
        <f>C588+C590+C593</f>
        <v>6442012000</v>
      </c>
      <c r="D587" s="133"/>
    </row>
    <row r="588" spans="1:4" s="194" customFormat="1" ht="20.100000000000001" customHeight="1" x14ac:dyDescent="0.25">
      <c r="A588" s="206" t="s">
        <v>13</v>
      </c>
      <c r="B588" s="4"/>
      <c r="C588" s="2">
        <f>C589</f>
        <v>4886012000</v>
      </c>
      <c r="D588" s="130"/>
    </row>
    <row r="589" spans="1:4" s="194" customFormat="1" ht="20.100000000000001" customHeight="1" x14ac:dyDescent="0.25">
      <c r="A589" s="3" t="s">
        <v>389</v>
      </c>
      <c r="B589" s="4"/>
      <c r="C589" s="5">
        <v>4886012000</v>
      </c>
      <c r="D589" s="130"/>
    </row>
    <row r="590" spans="1:4" s="194" customFormat="1" ht="20.100000000000001" customHeight="1" x14ac:dyDescent="0.25">
      <c r="A590" s="206" t="s">
        <v>16</v>
      </c>
      <c r="B590" s="4"/>
      <c r="C590" s="2">
        <f>C591+C592</f>
        <v>600000000</v>
      </c>
      <c r="D590" s="130"/>
    </row>
    <row r="591" spans="1:4" s="194" customFormat="1" ht="20.100000000000001" customHeight="1" x14ac:dyDescent="0.25">
      <c r="A591" s="3" t="s">
        <v>68</v>
      </c>
      <c r="B591" s="4">
        <f>C591/25000000</f>
        <v>24</v>
      </c>
      <c r="C591" s="5">
        <v>600000000</v>
      </c>
      <c r="D591" s="130"/>
    </row>
    <row r="592" spans="1:4" s="194" customFormat="1" ht="20.100000000000001" customHeight="1" x14ac:dyDescent="0.25">
      <c r="A592" s="3" t="s">
        <v>457</v>
      </c>
      <c r="B592" s="4"/>
      <c r="C592" s="5">
        <v>0</v>
      </c>
      <c r="D592" s="130"/>
    </row>
    <row r="593" spans="1:4" s="194" customFormat="1" ht="20.100000000000001" customHeight="1" x14ac:dyDescent="0.25">
      <c r="A593" s="206" t="s">
        <v>101</v>
      </c>
      <c r="B593" s="4"/>
      <c r="C593" s="2">
        <f>SUM(C594:C597)</f>
        <v>956000000</v>
      </c>
      <c r="D593" s="130"/>
    </row>
    <row r="594" spans="1:4" s="194" customFormat="1" ht="20.100000000000001" customHeight="1" x14ac:dyDescent="0.25">
      <c r="A594" s="3" t="s">
        <v>471</v>
      </c>
      <c r="B594" s="4"/>
      <c r="C594" s="5">
        <v>711360000</v>
      </c>
      <c r="D594" s="130"/>
    </row>
    <row r="595" spans="1:4" s="194" customFormat="1" ht="20.100000000000001" customHeight="1" x14ac:dyDescent="0.25">
      <c r="A595" s="3" t="s">
        <v>462</v>
      </c>
      <c r="B595" s="4"/>
      <c r="C595" s="5">
        <v>244640000</v>
      </c>
      <c r="D595" s="130"/>
    </row>
    <row r="596" spans="1:4" s="194" customFormat="1" ht="20.100000000000001" customHeight="1" x14ac:dyDescent="0.25">
      <c r="A596" s="3" t="s">
        <v>459</v>
      </c>
      <c r="B596" s="4"/>
      <c r="C596" s="5">
        <v>0</v>
      </c>
      <c r="D596" s="130"/>
    </row>
    <row r="597" spans="1:4" s="194" customFormat="1" ht="20.100000000000001" customHeight="1" x14ac:dyDescent="0.25">
      <c r="A597" s="3" t="s">
        <v>458</v>
      </c>
      <c r="B597" s="4"/>
      <c r="C597" s="5">
        <v>0</v>
      </c>
      <c r="D597" s="130"/>
    </row>
    <row r="598" spans="1:4" s="214" customFormat="1" ht="20.100000000000001" customHeight="1" x14ac:dyDescent="0.2">
      <c r="A598" s="221" t="s">
        <v>477</v>
      </c>
      <c r="B598" s="1"/>
      <c r="C598" s="2">
        <f>C599+C610</f>
        <v>11955077000</v>
      </c>
      <c r="D598" s="128"/>
    </row>
    <row r="599" spans="1:4" s="225" customFormat="1" ht="20.100000000000001" customHeight="1" x14ac:dyDescent="0.25">
      <c r="A599" s="224" t="s">
        <v>470</v>
      </c>
      <c r="B599" s="131"/>
      <c r="C599" s="132">
        <f>C600+C602+C605</f>
        <v>6340464000</v>
      </c>
      <c r="D599" s="133"/>
    </row>
    <row r="600" spans="1:4" s="194" customFormat="1" ht="20.100000000000001" customHeight="1" x14ac:dyDescent="0.25">
      <c r="A600" s="206" t="s">
        <v>13</v>
      </c>
      <c r="B600" s="4"/>
      <c r="C600" s="2">
        <f>C601</f>
        <v>4324935000</v>
      </c>
      <c r="D600" s="130"/>
    </row>
    <row r="601" spans="1:4" s="194" customFormat="1" ht="20.100000000000001" customHeight="1" x14ac:dyDescent="0.25">
      <c r="A601" s="3" t="s">
        <v>389</v>
      </c>
      <c r="B601" s="4"/>
      <c r="C601" s="5">
        <v>4324935000</v>
      </c>
      <c r="D601" s="130"/>
    </row>
    <row r="602" spans="1:4" s="194" customFormat="1" ht="20.100000000000001" customHeight="1" x14ac:dyDescent="0.25">
      <c r="A602" s="206" t="s">
        <v>16</v>
      </c>
      <c r="B602" s="4"/>
      <c r="C602" s="2">
        <f>C603+C604</f>
        <v>558049000</v>
      </c>
      <c r="D602" s="130"/>
    </row>
    <row r="603" spans="1:4" s="194" customFormat="1" ht="20.100000000000001" customHeight="1" x14ac:dyDescent="0.25">
      <c r="A603" s="3" t="s">
        <v>68</v>
      </c>
      <c r="B603" s="4">
        <f>C603/25000000</f>
        <v>18</v>
      </c>
      <c r="C603" s="5">
        <v>450000000</v>
      </c>
      <c r="D603" s="130"/>
    </row>
    <row r="604" spans="1:4" s="194" customFormat="1" ht="20.100000000000001" customHeight="1" x14ac:dyDescent="0.25">
      <c r="A604" s="3" t="s">
        <v>457</v>
      </c>
      <c r="B604" s="4"/>
      <c r="C604" s="5">
        <v>108049000</v>
      </c>
      <c r="D604" s="130"/>
    </row>
    <row r="605" spans="1:4" s="194" customFormat="1" ht="20.100000000000001" customHeight="1" x14ac:dyDescent="0.25">
      <c r="A605" s="206" t="s">
        <v>101</v>
      </c>
      <c r="B605" s="4"/>
      <c r="C605" s="2">
        <f>SUM(C606:C609)</f>
        <v>1457480000</v>
      </c>
      <c r="D605" s="130"/>
    </row>
    <row r="606" spans="1:4" s="194" customFormat="1" ht="20.100000000000001" customHeight="1" x14ac:dyDescent="0.25">
      <c r="A606" s="3" t="s">
        <v>471</v>
      </c>
      <c r="B606" s="4"/>
      <c r="C606" s="5">
        <v>1125900000</v>
      </c>
      <c r="D606" s="130"/>
    </row>
    <row r="607" spans="1:4" s="194" customFormat="1" ht="20.100000000000001" customHeight="1" x14ac:dyDescent="0.25">
      <c r="A607" s="3" t="s">
        <v>462</v>
      </c>
      <c r="B607" s="4"/>
      <c r="C607" s="5">
        <v>31580000</v>
      </c>
      <c r="D607" s="130"/>
    </row>
    <row r="608" spans="1:4" s="194" customFormat="1" ht="20.100000000000001" customHeight="1" x14ac:dyDescent="0.25">
      <c r="A608" s="3" t="s">
        <v>459</v>
      </c>
      <c r="B608" s="4"/>
      <c r="C608" s="5">
        <v>200000000</v>
      </c>
      <c r="D608" s="130"/>
    </row>
    <row r="609" spans="1:4" s="194" customFormat="1" ht="20.100000000000001" customHeight="1" x14ac:dyDescent="0.25">
      <c r="A609" s="3" t="s">
        <v>458</v>
      </c>
      <c r="B609" s="4"/>
      <c r="C609" s="5">
        <v>100000000</v>
      </c>
      <c r="D609" s="130"/>
    </row>
    <row r="610" spans="1:4" s="225" customFormat="1" ht="20.100000000000001" customHeight="1" x14ac:dyDescent="0.25">
      <c r="A610" s="224" t="s">
        <v>472</v>
      </c>
      <c r="B610" s="131"/>
      <c r="C610" s="132">
        <f>C611+C613+C616</f>
        <v>5614613000</v>
      </c>
      <c r="D610" s="133"/>
    </row>
    <row r="611" spans="1:4" s="194" customFormat="1" ht="20.100000000000001" customHeight="1" x14ac:dyDescent="0.25">
      <c r="A611" s="206" t="s">
        <v>13</v>
      </c>
      <c r="B611" s="4"/>
      <c r="C611" s="2">
        <f>C612</f>
        <v>4449753000</v>
      </c>
      <c r="D611" s="130"/>
    </row>
    <row r="612" spans="1:4" s="194" customFormat="1" ht="20.100000000000001" customHeight="1" x14ac:dyDescent="0.25">
      <c r="A612" s="3" t="s">
        <v>389</v>
      </c>
      <c r="B612" s="4"/>
      <c r="C612" s="5">
        <v>4449753000</v>
      </c>
      <c r="D612" s="130"/>
    </row>
    <row r="613" spans="1:4" s="194" customFormat="1" ht="20.100000000000001" customHeight="1" x14ac:dyDescent="0.25">
      <c r="A613" s="206" t="s">
        <v>16</v>
      </c>
      <c r="B613" s="4"/>
      <c r="C613" s="2">
        <f>C614+C615</f>
        <v>450000000</v>
      </c>
      <c r="D613" s="130"/>
    </row>
    <row r="614" spans="1:4" s="194" customFormat="1" ht="20.100000000000001" customHeight="1" x14ac:dyDescent="0.25">
      <c r="A614" s="3" t="s">
        <v>68</v>
      </c>
      <c r="B614" s="4">
        <f>C614/25000000</f>
        <v>18</v>
      </c>
      <c r="C614" s="5">
        <v>450000000</v>
      </c>
      <c r="D614" s="130"/>
    </row>
    <row r="615" spans="1:4" s="194" customFormat="1" ht="20.100000000000001" customHeight="1" x14ac:dyDescent="0.25">
      <c r="A615" s="3" t="s">
        <v>457</v>
      </c>
      <c r="B615" s="4"/>
      <c r="C615" s="5">
        <v>0</v>
      </c>
      <c r="D615" s="130"/>
    </row>
    <row r="616" spans="1:4" s="194" customFormat="1" ht="20.100000000000001" customHeight="1" x14ac:dyDescent="0.25">
      <c r="A616" s="206" t="s">
        <v>101</v>
      </c>
      <c r="B616" s="4"/>
      <c r="C616" s="2">
        <f>SUM(C617:C620)</f>
        <v>714860000</v>
      </c>
      <c r="D616" s="130"/>
    </row>
    <row r="617" spans="1:4" s="194" customFormat="1" ht="20.100000000000001" customHeight="1" x14ac:dyDescent="0.25">
      <c r="A617" s="3" t="s">
        <v>471</v>
      </c>
      <c r="B617" s="4"/>
      <c r="C617" s="5">
        <v>683280000</v>
      </c>
      <c r="D617" s="130"/>
    </row>
    <row r="618" spans="1:4" s="194" customFormat="1" ht="20.100000000000001" customHeight="1" x14ac:dyDescent="0.25">
      <c r="A618" s="3" t="s">
        <v>462</v>
      </c>
      <c r="B618" s="4"/>
      <c r="C618" s="5">
        <v>31580000</v>
      </c>
      <c r="D618" s="130"/>
    </row>
    <row r="619" spans="1:4" s="194" customFormat="1" ht="20.100000000000001" customHeight="1" x14ac:dyDescent="0.25">
      <c r="A619" s="3" t="s">
        <v>459</v>
      </c>
      <c r="B619" s="4"/>
      <c r="C619" s="5">
        <v>0</v>
      </c>
      <c r="D619" s="130"/>
    </row>
    <row r="620" spans="1:4" s="194" customFormat="1" ht="20.100000000000001" customHeight="1" x14ac:dyDescent="0.25">
      <c r="A620" s="3" t="s">
        <v>458</v>
      </c>
      <c r="B620" s="4"/>
      <c r="C620" s="5">
        <v>0</v>
      </c>
      <c r="D620" s="130"/>
    </row>
    <row r="621" spans="1:4" s="214" customFormat="1" ht="20.100000000000001" customHeight="1" x14ac:dyDescent="0.2">
      <c r="A621" s="221" t="s">
        <v>478</v>
      </c>
      <c r="B621" s="1"/>
      <c r="C621" s="2">
        <f>C622+C633</f>
        <v>15536851000</v>
      </c>
      <c r="D621" s="128"/>
    </row>
    <row r="622" spans="1:4" s="225" customFormat="1" ht="20.100000000000001" customHeight="1" x14ac:dyDescent="0.25">
      <c r="A622" s="224" t="s">
        <v>470</v>
      </c>
      <c r="B622" s="131"/>
      <c r="C622" s="132">
        <f>C623+C625+C628</f>
        <v>8989547000</v>
      </c>
      <c r="D622" s="133"/>
    </row>
    <row r="623" spans="1:4" s="194" customFormat="1" ht="20.100000000000001" customHeight="1" x14ac:dyDescent="0.25">
      <c r="A623" s="206" t="s">
        <v>13</v>
      </c>
      <c r="B623" s="4"/>
      <c r="C623" s="2">
        <f>C624</f>
        <v>6711045000</v>
      </c>
      <c r="D623" s="130"/>
    </row>
    <row r="624" spans="1:4" s="194" customFormat="1" ht="20.100000000000001" customHeight="1" x14ac:dyDescent="0.25">
      <c r="A624" s="3" t="s">
        <v>389</v>
      </c>
      <c r="B624" s="4"/>
      <c r="C624" s="5">
        <v>6711045000</v>
      </c>
      <c r="D624" s="130"/>
    </row>
    <row r="625" spans="1:4" s="194" customFormat="1" ht="20.100000000000001" customHeight="1" x14ac:dyDescent="0.25">
      <c r="A625" s="206" t="s">
        <v>16</v>
      </c>
      <c r="B625" s="4"/>
      <c r="C625" s="2">
        <f>C626+C627</f>
        <v>659842000</v>
      </c>
      <c r="D625" s="130"/>
    </row>
    <row r="626" spans="1:4" s="194" customFormat="1" ht="20.100000000000001" customHeight="1" x14ac:dyDescent="0.25">
      <c r="A626" s="3" t="s">
        <v>68</v>
      </c>
      <c r="B626" s="4">
        <f>C626/25000000</f>
        <v>23</v>
      </c>
      <c r="C626" s="5">
        <v>575000000</v>
      </c>
      <c r="D626" s="130"/>
    </row>
    <row r="627" spans="1:4" s="194" customFormat="1" ht="20.100000000000001" customHeight="1" x14ac:dyDescent="0.25">
      <c r="A627" s="3" t="s">
        <v>457</v>
      </c>
      <c r="B627" s="4"/>
      <c r="C627" s="5">
        <v>84842000</v>
      </c>
      <c r="D627" s="130"/>
    </row>
    <row r="628" spans="1:4" s="194" customFormat="1" ht="20.100000000000001" customHeight="1" x14ac:dyDescent="0.25">
      <c r="A628" s="206" t="s">
        <v>101</v>
      </c>
      <c r="B628" s="4"/>
      <c r="C628" s="2">
        <f>SUM(C629:C632)</f>
        <v>1618660000</v>
      </c>
      <c r="D628" s="130"/>
    </row>
    <row r="629" spans="1:4" s="194" customFormat="1" ht="20.100000000000001" customHeight="1" x14ac:dyDescent="0.25">
      <c r="A629" s="3" t="s">
        <v>471</v>
      </c>
      <c r="B629" s="4"/>
      <c r="C629" s="5">
        <v>1295640000</v>
      </c>
      <c r="D629" s="130"/>
    </row>
    <row r="630" spans="1:4" s="194" customFormat="1" ht="20.100000000000001" customHeight="1" x14ac:dyDescent="0.25">
      <c r="A630" s="3" t="s">
        <v>462</v>
      </c>
      <c r="B630" s="4"/>
      <c r="C630" s="5">
        <v>73020000</v>
      </c>
      <c r="D630" s="130"/>
    </row>
    <row r="631" spans="1:4" s="194" customFormat="1" ht="20.100000000000001" customHeight="1" x14ac:dyDescent="0.25">
      <c r="A631" s="3" t="s">
        <v>459</v>
      </c>
      <c r="B631" s="4"/>
      <c r="C631" s="5">
        <v>200000000</v>
      </c>
      <c r="D631" s="130"/>
    </row>
    <row r="632" spans="1:4" s="194" customFormat="1" ht="20.100000000000001" customHeight="1" x14ac:dyDescent="0.25">
      <c r="A632" s="3" t="s">
        <v>458</v>
      </c>
      <c r="B632" s="4"/>
      <c r="C632" s="5">
        <v>50000000</v>
      </c>
      <c r="D632" s="130"/>
    </row>
    <row r="633" spans="1:4" s="225" customFormat="1" ht="20.100000000000001" customHeight="1" x14ac:dyDescent="0.25">
      <c r="A633" s="224" t="s">
        <v>472</v>
      </c>
      <c r="B633" s="131"/>
      <c r="C633" s="132">
        <f>C634+C636+C639</f>
        <v>6547304000</v>
      </c>
      <c r="D633" s="133"/>
    </row>
    <row r="634" spans="1:4" s="194" customFormat="1" ht="20.100000000000001" customHeight="1" x14ac:dyDescent="0.25">
      <c r="A634" s="206" t="s">
        <v>13</v>
      </c>
      <c r="B634" s="4"/>
      <c r="C634" s="2">
        <f>C635</f>
        <v>4952024000</v>
      </c>
      <c r="D634" s="130"/>
    </row>
    <row r="635" spans="1:4" s="194" customFormat="1" ht="20.100000000000001" customHeight="1" x14ac:dyDescent="0.25">
      <c r="A635" s="3" t="s">
        <v>389</v>
      </c>
      <c r="B635" s="4"/>
      <c r="C635" s="5">
        <v>4952024000</v>
      </c>
      <c r="D635" s="130"/>
    </row>
    <row r="636" spans="1:4" s="194" customFormat="1" ht="20.100000000000001" customHeight="1" x14ac:dyDescent="0.25">
      <c r="A636" s="206" t="s">
        <v>16</v>
      </c>
      <c r="B636" s="4"/>
      <c r="C636" s="2">
        <f>C637+C638</f>
        <v>550000000</v>
      </c>
      <c r="D636" s="130"/>
    </row>
    <row r="637" spans="1:4" s="194" customFormat="1" ht="20.100000000000001" customHeight="1" x14ac:dyDescent="0.25">
      <c r="A637" s="3" t="s">
        <v>68</v>
      </c>
      <c r="B637" s="4">
        <f>C637/25000000</f>
        <v>22</v>
      </c>
      <c r="C637" s="5">
        <v>550000000</v>
      </c>
      <c r="D637" s="130"/>
    </row>
    <row r="638" spans="1:4" s="194" customFormat="1" ht="20.100000000000001" customHeight="1" x14ac:dyDescent="0.25">
      <c r="A638" s="3" t="s">
        <v>457</v>
      </c>
      <c r="B638" s="4"/>
      <c r="C638" s="5">
        <v>0</v>
      </c>
      <c r="D638" s="130"/>
    </row>
    <row r="639" spans="1:4" s="194" customFormat="1" ht="20.100000000000001" customHeight="1" x14ac:dyDescent="0.25">
      <c r="A639" s="206" t="s">
        <v>101</v>
      </c>
      <c r="B639" s="4"/>
      <c r="C639" s="2">
        <f>SUM(C640:C643)</f>
        <v>1045280000</v>
      </c>
      <c r="D639" s="130"/>
    </row>
    <row r="640" spans="1:4" s="194" customFormat="1" ht="20.100000000000001" customHeight="1" x14ac:dyDescent="0.25">
      <c r="A640" s="3" t="s">
        <v>471</v>
      </c>
      <c r="B640" s="4"/>
      <c r="C640" s="5">
        <v>861100000</v>
      </c>
      <c r="D640" s="130"/>
    </row>
    <row r="641" spans="1:4" s="194" customFormat="1" ht="20.100000000000001" customHeight="1" x14ac:dyDescent="0.25">
      <c r="A641" s="3" t="s">
        <v>462</v>
      </c>
      <c r="B641" s="4"/>
      <c r="C641" s="5">
        <v>134180000</v>
      </c>
      <c r="D641" s="130"/>
    </row>
    <row r="642" spans="1:4" s="194" customFormat="1" ht="20.100000000000001" customHeight="1" x14ac:dyDescent="0.25">
      <c r="A642" s="3" t="s">
        <v>459</v>
      </c>
      <c r="B642" s="4"/>
      <c r="C642" s="5">
        <v>0</v>
      </c>
      <c r="D642" s="130"/>
    </row>
    <row r="643" spans="1:4" s="194" customFormat="1" ht="20.100000000000001" customHeight="1" x14ac:dyDescent="0.25">
      <c r="A643" s="3" t="s">
        <v>458</v>
      </c>
      <c r="B643" s="4"/>
      <c r="C643" s="5">
        <v>50000000</v>
      </c>
      <c r="D643" s="130"/>
    </row>
    <row r="644" spans="1:4" s="214" customFormat="1" ht="20.100000000000001" customHeight="1" x14ac:dyDescent="0.2">
      <c r="A644" s="221" t="s">
        <v>479</v>
      </c>
      <c r="B644" s="1"/>
      <c r="C644" s="2">
        <f>C645+C656</f>
        <v>10207249000</v>
      </c>
      <c r="D644" s="128"/>
    </row>
    <row r="645" spans="1:4" s="225" customFormat="1" ht="20.100000000000001" customHeight="1" x14ac:dyDescent="0.25">
      <c r="A645" s="224" t="s">
        <v>470</v>
      </c>
      <c r="B645" s="131"/>
      <c r="C645" s="132">
        <f>C646+C648+C651</f>
        <v>6042376000</v>
      </c>
      <c r="D645" s="133"/>
    </row>
    <row r="646" spans="1:4" s="194" customFormat="1" ht="20.100000000000001" customHeight="1" x14ac:dyDescent="0.25">
      <c r="A646" s="206" t="s">
        <v>13</v>
      </c>
      <c r="B646" s="4"/>
      <c r="C646" s="2">
        <f>C647</f>
        <v>4404730000</v>
      </c>
      <c r="D646" s="130"/>
    </row>
    <row r="647" spans="1:4" s="194" customFormat="1" ht="20.100000000000001" customHeight="1" x14ac:dyDescent="0.25">
      <c r="A647" s="3" t="s">
        <v>389</v>
      </c>
      <c r="B647" s="4"/>
      <c r="C647" s="5">
        <v>4404730000</v>
      </c>
      <c r="D647" s="130"/>
    </row>
    <row r="648" spans="1:4" s="194" customFormat="1" ht="20.100000000000001" customHeight="1" x14ac:dyDescent="0.25">
      <c r="A648" s="206" t="s">
        <v>16</v>
      </c>
      <c r="B648" s="4"/>
      <c r="C648" s="2">
        <f>C649+C650</f>
        <v>532090000</v>
      </c>
      <c r="D648" s="130"/>
    </row>
    <row r="649" spans="1:4" s="194" customFormat="1" ht="20.100000000000001" customHeight="1" x14ac:dyDescent="0.25">
      <c r="A649" s="3" t="s">
        <v>68</v>
      </c>
      <c r="B649" s="4">
        <f>C649/25000000</f>
        <v>19</v>
      </c>
      <c r="C649" s="5">
        <v>475000000</v>
      </c>
      <c r="D649" s="130"/>
    </row>
    <row r="650" spans="1:4" s="194" customFormat="1" ht="20.100000000000001" customHeight="1" x14ac:dyDescent="0.25">
      <c r="A650" s="3" t="s">
        <v>457</v>
      </c>
      <c r="B650" s="4"/>
      <c r="C650" s="5">
        <v>57090000</v>
      </c>
      <c r="D650" s="130"/>
    </row>
    <row r="651" spans="1:4" s="194" customFormat="1" ht="20.100000000000001" customHeight="1" x14ac:dyDescent="0.25">
      <c r="A651" s="206" t="s">
        <v>101</v>
      </c>
      <c r="B651" s="4"/>
      <c r="C651" s="2">
        <f>SUM(C652:C655)</f>
        <v>1105556000</v>
      </c>
      <c r="D651" s="130"/>
    </row>
    <row r="652" spans="1:4" s="194" customFormat="1" ht="20.100000000000001" customHeight="1" x14ac:dyDescent="0.25">
      <c r="A652" s="3" t="s">
        <v>471</v>
      </c>
      <c r="B652" s="4"/>
      <c r="C652" s="5">
        <v>788580000</v>
      </c>
      <c r="D652" s="130"/>
    </row>
    <row r="653" spans="1:4" s="194" customFormat="1" ht="20.100000000000001" customHeight="1" x14ac:dyDescent="0.25">
      <c r="A653" s="3" t="s">
        <v>462</v>
      </c>
      <c r="B653" s="4"/>
      <c r="C653" s="5">
        <v>16976000</v>
      </c>
      <c r="D653" s="130"/>
    </row>
    <row r="654" spans="1:4" s="194" customFormat="1" ht="20.100000000000001" customHeight="1" x14ac:dyDescent="0.25">
      <c r="A654" s="3" t="s">
        <v>459</v>
      </c>
      <c r="B654" s="4"/>
      <c r="C654" s="5">
        <v>200000000</v>
      </c>
      <c r="D654" s="130"/>
    </row>
    <row r="655" spans="1:4" s="194" customFormat="1" ht="20.100000000000001" customHeight="1" x14ac:dyDescent="0.25">
      <c r="A655" s="3" t="s">
        <v>458</v>
      </c>
      <c r="B655" s="4"/>
      <c r="C655" s="5">
        <v>100000000</v>
      </c>
      <c r="D655" s="130"/>
    </row>
    <row r="656" spans="1:4" s="225" customFormat="1" ht="20.100000000000001" customHeight="1" x14ac:dyDescent="0.25">
      <c r="A656" s="224" t="s">
        <v>472</v>
      </c>
      <c r="B656" s="131"/>
      <c r="C656" s="132">
        <f>C657+C659+C662</f>
        <v>4164873000</v>
      </c>
      <c r="D656" s="133"/>
    </row>
    <row r="657" spans="1:4" s="194" customFormat="1" ht="20.100000000000001" customHeight="1" x14ac:dyDescent="0.25">
      <c r="A657" s="206" t="s">
        <v>13</v>
      </c>
      <c r="B657" s="4"/>
      <c r="C657" s="2">
        <f>C658</f>
        <v>3083593000</v>
      </c>
      <c r="D657" s="130"/>
    </row>
    <row r="658" spans="1:4" s="194" customFormat="1" ht="20.100000000000001" customHeight="1" x14ac:dyDescent="0.25">
      <c r="A658" s="3" t="s">
        <v>389</v>
      </c>
      <c r="B658" s="4"/>
      <c r="C658" s="5">
        <v>3083593000</v>
      </c>
      <c r="D658" s="130"/>
    </row>
    <row r="659" spans="1:4" s="194" customFormat="1" ht="20.100000000000001" customHeight="1" x14ac:dyDescent="0.25">
      <c r="A659" s="206" t="s">
        <v>16</v>
      </c>
      <c r="B659" s="4"/>
      <c r="C659" s="2">
        <f>C660+C661</f>
        <v>400000000</v>
      </c>
      <c r="D659" s="130"/>
    </row>
    <row r="660" spans="1:4" s="194" customFormat="1" ht="20.100000000000001" customHeight="1" x14ac:dyDescent="0.25">
      <c r="A660" s="3" t="s">
        <v>68</v>
      </c>
      <c r="B660" s="4">
        <f>C660/25000000</f>
        <v>16</v>
      </c>
      <c r="C660" s="5">
        <v>400000000</v>
      </c>
      <c r="D660" s="130"/>
    </row>
    <row r="661" spans="1:4" s="194" customFormat="1" ht="20.100000000000001" customHeight="1" x14ac:dyDescent="0.25">
      <c r="A661" s="3" t="s">
        <v>457</v>
      </c>
      <c r="B661" s="4"/>
      <c r="C661" s="5">
        <v>0</v>
      </c>
      <c r="D661" s="130"/>
    </row>
    <row r="662" spans="1:4" s="194" customFormat="1" ht="20.100000000000001" customHeight="1" x14ac:dyDescent="0.25">
      <c r="A662" s="206" t="s">
        <v>101</v>
      </c>
      <c r="B662" s="4"/>
      <c r="C662" s="2">
        <f>SUM(C663:C666)</f>
        <v>681280000</v>
      </c>
      <c r="D662" s="130"/>
    </row>
    <row r="663" spans="1:4" s="194" customFormat="1" ht="20.100000000000001" customHeight="1" x14ac:dyDescent="0.25">
      <c r="A663" s="3" t="s">
        <v>471</v>
      </c>
      <c r="B663" s="4"/>
      <c r="C663" s="5">
        <v>620120000</v>
      </c>
      <c r="D663" s="130"/>
    </row>
    <row r="664" spans="1:4" s="194" customFormat="1" ht="20.100000000000001" customHeight="1" x14ac:dyDescent="0.25">
      <c r="A664" s="3" t="s">
        <v>462</v>
      </c>
      <c r="B664" s="4"/>
      <c r="C664" s="5">
        <v>61160000</v>
      </c>
      <c r="D664" s="130"/>
    </row>
    <row r="665" spans="1:4" s="194" customFormat="1" ht="20.100000000000001" customHeight="1" x14ac:dyDescent="0.25">
      <c r="A665" s="3" t="s">
        <v>459</v>
      </c>
      <c r="B665" s="4"/>
      <c r="C665" s="5">
        <v>0</v>
      </c>
      <c r="D665" s="130"/>
    </row>
    <row r="666" spans="1:4" s="194" customFormat="1" ht="20.100000000000001" customHeight="1" x14ac:dyDescent="0.25">
      <c r="A666" s="3" t="s">
        <v>458</v>
      </c>
      <c r="B666" s="4"/>
      <c r="C666" s="5">
        <v>0</v>
      </c>
      <c r="D666" s="130"/>
    </row>
    <row r="667" spans="1:4" s="214" customFormat="1" ht="20.100000000000001" customHeight="1" x14ac:dyDescent="0.2">
      <c r="A667" s="221" t="s">
        <v>480</v>
      </c>
      <c r="B667" s="1"/>
      <c r="C667" s="2">
        <f>C668+C679</f>
        <v>12215171000</v>
      </c>
      <c r="D667" s="128"/>
    </row>
    <row r="668" spans="1:4" s="225" customFormat="1" ht="20.100000000000001" customHeight="1" x14ac:dyDescent="0.25">
      <c r="A668" s="224" t="s">
        <v>470</v>
      </c>
      <c r="B668" s="131"/>
      <c r="C668" s="132">
        <f>C669+C671+C674</f>
        <v>5942949000</v>
      </c>
      <c r="D668" s="133"/>
    </row>
    <row r="669" spans="1:4" s="194" customFormat="1" ht="20.100000000000001" customHeight="1" x14ac:dyDescent="0.25">
      <c r="A669" s="206" t="s">
        <v>13</v>
      </c>
      <c r="B669" s="4"/>
      <c r="C669" s="2">
        <f>C670</f>
        <v>4252939000</v>
      </c>
      <c r="D669" s="130"/>
    </row>
    <row r="670" spans="1:4" s="194" customFormat="1" ht="20.100000000000001" customHeight="1" x14ac:dyDescent="0.25">
      <c r="A670" s="3" t="s">
        <v>389</v>
      </c>
      <c r="B670" s="4"/>
      <c r="C670" s="5">
        <v>4252939000</v>
      </c>
      <c r="D670" s="130"/>
    </row>
    <row r="671" spans="1:4" s="194" customFormat="1" ht="20.100000000000001" customHeight="1" x14ac:dyDescent="0.25">
      <c r="A671" s="206" t="s">
        <v>16</v>
      </c>
      <c r="B671" s="4"/>
      <c r="C671" s="2">
        <f>C672+C673</f>
        <v>479578000</v>
      </c>
      <c r="D671" s="130"/>
    </row>
    <row r="672" spans="1:4" s="194" customFormat="1" ht="20.100000000000001" customHeight="1" x14ac:dyDescent="0.25">
      <c r="A672" s="3" t="s">
        <v>68</v>
      </c>
      <c r="B672" s="4">
        <f>C672/25000000</f>
        <v>17</v>
      </c>
      <c r="C672" s="5">
        <v>425000000</v>
      </c>
      <c r="D672" s="130"/>
    </row>
    <row r="673" spans="1:4" s="194" customFormat="1" ht="20.100000000000001" customHeight="1" x14ac:dyDescent="0.25">
      <c r="A673" s="3" t="s">
        <v>457</v>
      </c>
      <c r="B673" s="4"/>
      <c r="C673" s="5">
        <v>54578000</v>
      </c>
      <c r="D673" s="130"/>
    </row>
    <row r="674" spans="1:4" s="194" customFormat="1" ht="20.100000000000001" customHeight="1" x14ac:dyDescent="0.25">
      <c r="A674" s="206" t="s">
        <v>101</v>
      </c>
      <c r="B674" s="4"/>
      <c r="C674" s="2">
        <f>SUM(C675:C678)</f>
        <v>1210432000</v>
      </c>
      <c r="D674" s="130"/>
    </row>
    <row r="675" spans="1:4" s="194" customFormat="1" ht="20.100000000000001" customHeight="1" x14ac:dyDescent="0.25">
      <c r="A675" s="3" t="s">
        <v>471</v>
      </c>
      <c r="B675" s="4"/>
      <c r="C675" s="5">
        <v>795600000</v>
      </c>
      <c r="D675" s="130"/>
    </row>
    <row r="676" spans="1:4" s="194" customFormat="1" ht="20.100000000000001" customHeight="1" x14ac:dyDescent="0.25">
      <c r="A676" s="3" t="s">
        <v>462</v>
      </c>
      <c r="B676" s="4"/>
      <c r="C676" s="5">
        <v>114832000</v>
      </c>
      <c r="D676" s="130"/>
    </row>
    <row r="677" spans="1:4" s="194" customFormat="1" ht="20.100000000000001" customHeight="1" x14ac:dyDescent="0.25">
      <c r="A677" s="3" t="s">
        <v>459</v>
      </c>
      <c r="B677" s="4"/>
      <c r="C677" s="5">
        <v>200000000</v>
      </c>
      <c r="D677" s="130"/>
    </row>
    <row r="678" spans="1:4" s="194" customFormat="1" ht="20.100000000000001" customHeight="1" x14ac:dyDescent="0.25">
      <c r="A678" s="3" t="s">
        <v>458</v>
      </c>
      <c r="B678" s="4"/>
      <c r="C678" s="5">
        <v>100000000</v>
      </c>
      <c r="D678" s="130"/>
    </row>
    <row r="679" spans="1:4" s="225" customFormat="1" ht="20.100000000000001" customHeight="1" x14ac:dyDescent="0.25">
      <c r="A679" s="224" t="s">
        <v>472</v>
      </c>
      <c r="B679" s="131"/>
      <c r="C679" s="132">
        <f>C680+C682+C685</f>
        <v>6272222000</v>
      </c>
      <c r="D679" s="133"/>
    </row>
    <row r="680" spans="1:4" s="194" customFormat="1" ht="20.100000000000001" customHeight="1" x14ac:dyDescent="0.25">
      <c r="A680" s="206" t="s">
        <v>13</v>
      </c>
      <c r="B680" s="4"/>
      <c r="C680" s="2">
        <f>C681</f>
        <v>4772362000</v>
      </c>
      <c r="D680" s="130"/>
    </row>
    <row r="681" spans="1:4" s="194" customFormat="1" ht="20.100000000000001" customHeight="1" x14ac:dyDescent="0.25">
      <c r="A681" s="3" t="s">
        <v>389</v>
      </c>
      <c r="B681" s="4"/>
      <c r="C681" s="5">
        <v>4772362000</v>
      </c>
      <c r="D681" s="130"/>
    </row>
    <row r="682" spans="1:4" s="194" customFormat="1" ht="20.100000000000001" customHeight="1" x14ac:dyDescent="0.25">
      <c r="A682" s="206" t="s">
        <v>16</v>
      </c>
      <c r="B682" s="4"/>
      <c r="C682" s="2">
        <f>C683+C684</f>
        <v>500000000</v>
      </c>
      <c r="D682" s="130"/>
    </row>
    <row r="683" spans="1:4" s="194" customFormat="1" ht="20.100000000000001" customHeight="1" x14ac:dyDescent="0.25">
      <c r="A683" s="3" t="s">
        <v>68</v>
      </c>
      <c r="B683" s="4">
        <f>C683/25000000</f>
        <v>20</v>
      </c>
      <c r="C683" s="5">
        <v>500000000</v>
      </c>
      <c r="D683" s="130"/>
    </row>
    <row r="684" spans="1:4" s="194" customFormat="1" ht="20.100000000000001" customHeight="1" x14ac:dyDescent="0.25">
      <c r="A684" s="3" t="s">
        <v>457</v>
      </c>
      <c r="B684" s="4"/>
      <c r="C684" s="5">
        <v>0</v>
      </c>
      <c r="D684" s="130"/>
    </row>
    <row r="685" spans="1:4" s="194" customFormat="1" ht="20.100000000000001" customHeight="1" x14ac:dyDescent="0.25">
      <c r="A685" s="206" t="s">
        <v>101</v>
      </c>
      <c r="B685" s="4"/>
      <c r="C685" s="2">
        <f>SUM(C686:C689)</f>
        <v>999860000</v>
      </c>
      <c r="D685" s="130"/>
    </row>
    <row r="686" spans="1:4" s="194" customFormat="1" ht="20.100000000000001" customHeight="1" x14ac:dyDescent="0.25">
      <c r="A686" s="3" t="s">
        <v>471</v>
      </c>
      <c r="B686" s="4"/>
      <c r="C686" s="5">
        <v>938700000</v>
      </c>
      <c r="D686" s="130"/>
    </row>
    <row r="687" spans="1:4" s="194" customFormat="1" ht="20.100000000000001" customHeight="1" x14ac:dyDescent="0.25">
      <c r="A687" s="3" t="s">
        <v>462</v>
      </c>
      <c r="B687" s="4"/>
      <c r="C687" s="5">
        <v>61160000</v>
      </c>
      <c r="D687" s="130"/>
    </row>
    <row r="688" spans="1:4" s="194" customFormat="1" ht="20.100000000000001" customHeight="1" x14ac:dyDescent="0.25">
      <c r="A688" s="3" t="s">
        <v>459</v>
      </c>
      <c r="B688" s="4"/>
      <c r="C688" s="5">
        <v>0</v>
      </c>
      <c r="D688" s="130"/>
    </row>
    <row r="689" spans="1:4" s="194" customFormat="1" ht="20.100000000000001" customHeight="1" x14ac:dyDescent="0.25">
      <c r="A689" s="3" t="s">
        <v>458</v>
      </c>
      <c r="B689" s="4"/>
      <c r="C689" s="5">
        <v>0</v>
      </c>
      <c r="D689" s="130"/>
    </row>
    <row r="690" spans="1:4" s="214" customFormat="1" ht="20.100000000000001" customHeight="1" x14ac:dyDescent="0.2">
      <c r="A690" s="221" t="s">
        <v>481</v>
      </c>
      <c r="B690" s="1"/>
      <c r="C690" s="2">
        <f>C691+C693+C696</f>
        <v>10669043000</v>
      </c>
      <c r="D690" s="128"/>
    </row>
    <row r="691" spans="1:4" s="194" customFormat="1" ht="20.100000000000001" customHeight="1" x14ac:dyDescent="0.25">
      <c r="A691" s="206" t="s">
        <v>13</v>
      </c>
      <c r="B691" s="4"/>
      <c r="C691" s="2">
        <f>C692</f>
        <v>5168043000</v>
      </c>
      <c r="D691" s="130"/>
    </row>
    <row r="692" spans="1:4" s="194" customFormat="1" ht="20.100000000000001" customHeight="1" x14ac:dyDescent="0.25">
      <c r="A692" s="3" t="s">
        <v>389</v>
      </c>
      <c r="B692" s="4"/>
      <c r="C692" s="5">
        <v>5168043000</v>
      </c>
      <c r="D692" s="130"/>
    </row>
    <row r="693" spans="1:4" s="194" customFormat="1" ht="20.100000000000001" customHeight="1" x14ac:dyDescent="0.25">
      <c r="A693" s="206" t="s">
        <v>16</v>
      </c>
      <c r="B693" s="4"/>
      <c r="C693" s="2">
        <f>C694+C695</f>
        <v>1075000000</v>
      </c>
      <c r="D693" s="130"/>
    </row>
    <row r="694" spans="1:4" s="194" customFormat="1" ht="20.100000000000001" customHeight="1" x14ac:dyDescent="0.25">
      <c r="A694" s="3" t="s">
        <v>68</v>
      </c>
      <c r="B694" s="4">
        <f>C694/25000000</f>
        <v>19</v>
      </c>
      <c r="C694" s="5">
        <f>25000000*19</f>
        <v>475000000</v>
      </c>
      <c r="D694" s="130"/>
    </row>
    <row r="695" spans="1:4" s="194" customFormat="1" ht="20.100000000000001" customHeight="1" x14ac:dyDescent="0.25">
      <c r="A695" s="3" t="s">
        <v>457</v>
      </c>
      <c r="B695" s="4"/>
      <c r="C695" s="5">
        <v>600000000</v>
      </c>
      <c r="D695" s="130"/>
    </row>
    <row r="696" spans="1:4" s="194" customFormat="1" ht="20.100000000000001" customHeight="1" x14ac:dyDescent="0.25">
      <c r="A696" s="206" t="s">
        <v>101</v>
      </c>
      <c r="B696" s="4"/>
      <c r="C696" s="2">
        <f>SUM(C697:C700)</f>
        <v>4426000000</v>
      </c>
      <c r="D696" s="130"/>
    </row>
    <row r="697" spans="1:4" s="194" customFormat="1" ht="20.100000000000001" customHeight="1" x14ac:dyDescent="0.25">
      <c r="A697" s="3" t="s">
        <v>482</v>
      </c>
      <c r="B697" s="4"/>
      <c r="C697" s="5">
        <v>4126000000</v>
      </c>
      <c r="D697" s="130"/>
    </row>
    <row r="698" spans="1:4" s="194" customFormat="1" ht="20.100000000000001" customHeight="1" x14ac:dyDescent="0.25">
      <c r="A698" s="3" t="s">
        <v>462</v>
      </c>
      <c r="B698" s="4"/>
      <c r="C698" s="5">
        <v>0</v>
      </c>
      <c r="D698" s="130"/>
    </row>
    <row r="699" spans="1:4" s="194" customFormat="1" ht="20.100000000000001" customHeight="1" x14ac:dyDescent="0.25">
      <c r="A699" s="3" t="s">
        <v>459</v>
      </c>
      <c r="B699" s="4"/>
      <c r="C699" s="5">
        <v>200000000</v>
      </c>
      <c r="D699" s="130"/>
    </row>
    <row r="700" spans="1:4" s="194" customFormat="1" ht="20.100000000000001" customHeight="1" x14ac:dyDescent="0.25">
      <c r="A700" s="3" t="s">
        <v>458</v>
      </c>
      <c r="B700" s="4"/>
      <c r="C700" s="5">
        <v>100000000</v>
      </c>
      <c r="D700" s="130"/>
    </row>
    <row r="701" spans="1:4" s="214" customFormat="1" ht="34.5" customHeight="1" x14ac:dyDescent="0.2">
      <c r="A701" s="206" t="s">
        <v>455</v>
      </c>
      <c r="B701" s="207"/>
      <c r="C701" s="2">
        <v>2000000000</v>
      </c>
      <c r="D701" s="209"/>
    </row>
    <row r="702" spans="1:4" s="194" customFormat="1" ht="16.5" customHeight="1" x14ac:dyDescent="0.25">
      <c r="A702" s="206" t="s">
        <v>103</v>
      </c>
      <c r="B702" s="127">
        <f>B703+B710</f>
        <v>2</v>
      </c>
      <c r="C702" s="2">
        <f>C703+C710</f>
        <v>830901000</v>
      </c>
      <c r="D702" s="128"/>
    </row>
    <row r="703" spans="1:4" s="194" customFormat="1" ht="17.100000000000001" customHeight="1" x14ac:dyDescent="0.25">
      <c r="A703" s="206" t="s">
        <v>359</v>
      </c>
      <c r="B703" s="127">
        <f>B704+B706+B708</f>
        <v>2</v>
      </c>
      <c r="C703" s="2">
        <f>C704+C706+C708</f>
        <v>730901000</v>
      </c>
      <c r="D703" s="128"/>
    </row>
    <row r="704" spans="1:4" s="194" customFormat="1" ht="18.600000000000001" customHeight="1" x14ac:dyDescent="0.25">
      <c r="A704" s="206" t="s">
        <v>13</v>
      </c>
      <c r="B704" s="1"/>
      <c r="C704" s="2">
        <f>SUM(C705:C705)</f>
        <v>371501000</v>
      </c>
      <c r="D704" s="128"/>
    </row>
    <row r="705" spans="1:4" s="196" customFormat="1" ht="18.600000000000001" customHeight="1" x14ac:dyDescent="0.25">
      <c r="A705" s="3" t="s">
        <v>389</v>
      </c>
      <c r="B705" s="212"/>
      <c r="C705" s="5">
        <v>371501000</v>
      </c>
      <c r="D705" s="213"/>
    </row>
    <row r="706" spans="1:4" s="196" customFormat="1" ht="18.600000000000001" customHeight="1" x14ac:dyDescent="0.25">
      <c r="A706" s="206" t="s">
        <v>16</v>
      </c>
      <c r="B706" s="216">
        <f>B707</f>
        <v>2</v>
      </c>
      <c r="C706" s="208">
        <f>C707</f>
        <v>59400000</v>
      </c>
      <c r="D706" s="213"/>
    </row>
    <row r="707" spans="1:4" s="194" customFormat="1" ht="18.600000000000001" customHeight="1" x14ac:dyDescent="0.25">
      <c r="A707" s="3" t="s">
        <v>17</v>
      </c>
      <c r="B707" s="212">
        <v>2</v>
      </c>
      <c r="C707" s="5">
        <f>B707*29700000</f>
        <v>59400000</v>
      </c>
      <c r="D707" s="213"/>
    </row>
    <row r="708" spans="1:4" s="194" customFormat="1" ht="18.600000000000001" customHeight="1" x14ac:dyDescent="0.25">
      <c r="A708" s="206" t="s">
        <v>18</v>
      </c>
      <c r="B708" s="207"/>
      <c r="C708" s="208">
        <f>SUM(C709:C709)</f>
        <v>300000000</v>
      </c>
      <c r="D708" s="213"/>
    </row>
    <row r="709" spans="1:4" s="194" customFormat="1" ht="18.600000000000001" customHeight="1" x14ac:dyDescent="0.25">
      <c r="A709" s="3" t="s">
        <v>104</v>
      </c>
      <c r="B709" s="212"/>
      <c r="C709" s="5">
        <v>300000000</v>
      </c>
      <c r="D709" s="213"/>
    </row>
    <row r="710" spans="1:4" s="194" customFormat="1" ht="18.600000000000001" customHeight="1" x14ac:dyDescent="0.25">
      <c r="A710" s="206" t="s">
        <v>424</v>
      </c>
      <c r="B710" s="1"/>
      <c r="C710" s="2">
        <f>SUM(C711:C711)</f>
        <v>100000000</v>
      </c>
      <c r="D710" s="128"/>
    </row>
    <row r="711" spans="1:4" s="194" customFormat="1" ht="18.600000000000001" customHeight="1" x14ac:dyDescent="0.25">
      <c r="A711" s="3" t="s">
        <v>105</v>
      </c>
      <c r="B711" s="212"/>
      <c r="C711" s="5">
        <v>100000000</v>
      </c>
      <c r="D711" s="213"/>
    </row>
    <row r="712" spans="1:4" s="194" customFormat="1" ht="19.5" customHeight="1" x14ac:dyDescent="0.25">
      <c r="A712" s="206" t="s">
        <v>425</v>
      </c>
      <c r="B712" s="1"/>
      <c r="C712" s="2">
        <f>SUM(C713:C715)</f>
        <v>3067000000</v>
      </c>
      <c r="D712" s="128"/>
    </row>
    <row r="713" spans="1:4" s="194" customFormat="1" ht="21.6" customHeight="1" x14ac:dyDescent="0.25">
      <c r="A713" s="3" t="s">
        <v>107</v>
      </c>
      <c r="B713" s="212"/>
      <c r="C713" s="5">
        <f>1205000000+370000000</f>
        <v>1575000000</v>
      </c>
      <c r="D713" s="279" t="s">
        <v>404</v>
      </c>
    </row>
    <row r="714" spans="1:4" s="194" customFormat="1" ht="19.149999999999999" customHeight="1" x14ac:dyDescent="0.25">
      <c r="A714" s="3" t="s">
        <v>426</v>
      </c>
      <c r="B714" s="212"/>
      <c r="C714" s="5">
        <f>79000000+213000000</f>
        <v>292000000</v>
      </c>
      <c r="D714" s="281"/>
    </row>
    <row r="715" spans="1:4" s="194" customFormat="1" ht="30.6" customHeight="1" x14ac:dyDescent="0.25">
      <c r="A715" s="3" t="s">
        <v>109</v>
      </c>
      <c r="B715" s="212"/>
      <c r="C715" s="5">
        <v>1200000000</v>
      </c>
      <c r="D715" s="213"/>
    </row>
    <row r="716" spans="1:4" s="194" customFormat="1" ht="19.149999999999999" customHeight="1" x14ac:dyDescent="0.25">
      <c r="A716" s="206" t="s">
        <v>595</v>
      </c>
      <c r="B716" s="1"/>
      <c r="C716" s="2">
        <f>SUM(C717:C725)</f>
        <v>6023477000</v>
      </c>
      <c r="D716" s="213"/>
    </row>
    <row r="717" spans="1:4" s="196" customFormat="1" ht="17.100000000000001" customHeight="1" x14ac:dyDescent="0.25">
      <c r="A717" s="3" t="s">
        <v>432</v>
      </c>
      <c r="B717" s="212"/>
      <c r="C717" s="5">
        <v>1787377000</v>
      </c>
      <c r="D717" s="130"/>
    </row>
    <row r="718" spans="1:4" s="196" customFormat="1" ht="17.100000000000001" customHeight="1" x14ac:dyDescent="0.25">
      <c r="A718" s="3" t="s">
        <v>607</v>
      </c>
      <c r="B718" s="212"/>
      <c r="C718" s="5">
        <v>200000000</v>
      </c>
      <c r="D718" s="130"/>
    </row>
    <row r="719" spans="1:4" s="196" customFormat="1" ht="17.100000000000001" customHeight="1" x14ac:dyDescent="0.25">
      <c r="A719" s="3" t="s">
        <v>429</v>
      </c>
      <c r="B719" s="212"/>
      <c r="C719" s="5">
        <v>100000000</v>
      </c>
      <c r="D719" s="130"/>
    </row>
    <row r="720" spans="1:4" s="196" customFormat="1" ht="17.100000000000001" customHeight="1" x14ac:dyDescent="0.25">
      <c r="A720" s="3" t="s">
        <v>551</v>
      </c>
      <c r="B720" s="212"/>
      <c r="C720" s="5">
        <v>700000000</v>
      </c>
      <c r="D720" s="130"/>
    </row>
    <row r="721" spans="1:4" s="196" customFormat="1" ht="17.100000000000001" customHeight="1" x14ac:dyDescent="0.25">
      <c r="A721" s="3" t="s">
        <v>430</v>
      </c>
      <c r="B721" s="212"/>
      <c r="C721" s="5">
        <v>20000000</v>
      </c>
      <c r="D721" s="130"/>
    </row>
    <row r="722" spans="1:4" s="196" customFormat="1" ht="17.100000000000001" customHeight="1" x14ac:dyDescent="0.25">
      <c r="A722" s="3" t="s">
        <v>573</v>
      </c>
      <c r="B722" s="212"/>
      <c r="C722" s="5">
        <v>66100000</v>
      </c>
      <c r="D722" s="282" t="s">
        <v>404</v>
      </c>
    </row>
    <row r="723" spans="1:4" s="196" customFormat="1" ht="17.100000000000001" customHeight="1" x14ac:dyDescent="0.25">
      <c r="A723" s="3" t="s">
        <v>484</v>
      </c>
      <c r="B723" s="212"/>
      <c r="C723" s="5">
        <v>400000000</v>
      </c>
      <c r="D723" s="283"/>
    </row>
    <row r="724" spans="1:4" s="196" customFormat="1" ht="17.100000000000001" customHeight="1" x14ac:dyDescent="0.25">
      <c r="A724" s="3" t="s">
        <v>485</v>
      </c>
      <c r="B724" s="212"/>
      <c r="C724" s="5">
        <v>2250000000</v>
      </c>
      <c r="D724" s="283"/>
    </row>
    <row r="725" spans="1:4" s="196" customFormat="1" ht="17.100000000000001" customHeight="1" x14ac:dyDescent="0.25">
      <c r="A725" s="3" t="s">
        <v>486</v>
      </c>
      <c r="B725" s="212"/>
      <c r="C725" s="5">
        <v>500000000</v>
      </c>
      <c r="D725" s="283"/>
    </row>
    <row r="726" spans="1:4" s="194" customFormat="1" ht="19.149999999999999" customHeight="1" x14ac:dyDescent="0.25">
      <c r="A726" s="206" t="s">
        <v>427</v>
      </c>
      <c r="B726" s="1"/>
      <c r="C726" s="2">
        <f>SUM(C727:C728)</f>
        <v>934000000</v>
      </c>
      <c r="D726" s="213"/>
    </row>
    <row r="727" spans="1:4" s="194" customFormat="1" ht="19.149999999999999" customHeight="1" x14ac:dyDescent="0.25">
      <c r="A727" s="211" t="s">
        <v>111</v>
      </c>
      <c r="B727" s="212"/>
      <c r="C727" s="5">
        <v>534000000</v>
      </c>
      <c r="D727" s="130"/>
    </row>
    <row r="728" spans="1:4" s="194" customFormat="1" ht="21" customHeight="1" x14ac:dyDescent="0.25">
      <c r="A728" s="3" t="s">
        <v>569</v>
      </c>
      <c r="B728" s="212"/>
      <c r="C728" s="5">
        <v>400000000</v>
      </c>
      <c r="D728" s="130" t="s">
        <v>415</v>
      </c>
    </row>
    <row r="729" spans="1:4" s="194" customFormat="1" ht="19.149999999999999" customHeight="1" x14ac:dyDescent="0.25">
      <c r="A729" s="206" t="s">
        <v>428</v>
      </c>
      <c r="B729" s="1"/>
      <c r="C729" s="2">
        <f>SUM(C730:C730)</f>
        <v>534000000</v>
      </c>
      <c r="D729" s="213"/>
    </row>
    <row r="730" spans="1:4" s="194" customFormat="1" ht="34.5" customHeight="1" x14ac:dyDescent="0.25">
      <c r="A730" s="3" t="s">
        <v>112</v>
      </c>
      <c r="B730" s="212"/>
      <c r="C730" s="5">
        <v>534000000</v>
      </c>
      <c r="D730" s="130"/>
    </row>
    <row r="731" spans="1:4" s="194" customFormat="1" ht="22.15" customHeight="1" x14ac:dyDescent="0.25">
      <c r="A731" s="206" t="s">
        <v>537</v>
      </c>
      <c r="B731" s="207"/>
      <c r="C731" s="208">
        <f>C732</f>
        <v>381000000</v>
      </c>
      <c r="D731" s="209"/>
    </row>
    <row r="732" spans="1:4" s="194" customFormat="1" ht="17.100000000000001" customHeight="1" x14ac:dyDescent="0.25">
      <c r="A732" s="3" t="s">
        <v>538</v>
      </c>
      <c r="B732" s="212"/>
      <c r="C732" s="5">
        <v>381000000</v>
      </c>
      <c r="D732" s="209"/>
    </row>
    <row r="733" spans="1:4" s="194" customFormat="1" ht="21" customHeight="1" x14ac:dyDescent="0.25">
      <c r="A733" s="206" t="s">
        <v>536</v>
      </c>
      <c r="B733" s="207"/>
      <c r="C733" s="208">
        <f>C734</f>
        <v>4983000000</v>
      </c>
      <c r="D733" s="209"/>
    </row>
    <row r="734" spans="1:4" s="194" customFormat="1" ht="18.600000000000001" customHeight="1" x14ac:dyDescent="0.25">
      <c r="A734" s="3" t="s">
        <v>580</v>
      </c>
      <c r="B734" s="212"/>
      <c r="C734" s="5">
        <v>4983000000</v>
      </c>
      <c r="D734" s="209"/>
    </row>
    <row r="735" spans="1:4" s="194" customFormat="1" ht="23.65" customHeight="1" x14ac:dyDescent="0.25">
      <c r="A735" s="206" t="s">
        <v>579</v>
      </c>
      <c r="B735" s="1"/>
      <c r="C735" s="2">
        <f>'TUNG SU NGHIEP'!C92</f>
        <v>70126092000</v>
      </c>
      <c r="D735" s="130"/>
    </row>
    <row r="736" spans="1:4" s="194" customFormat="1" ht="34.5" customHeight="1" x14ac:dyDescent="0.25">
      <c r="A736" s="195"/>
      <c r="B736" s="183"/>
      <c r="C736" s="184"/>
      <c r="D736" s="185"/>
    </row>
    <row r="737" spans="1:4" s="226" customFormat="1" ht="47.1" customHeight="1" x14ac:dyDescent="0.25">
      <c r="A737" s="277"/>
      <c r="B737" s="277"/>
      <c r="C737" s="277"/>
      <c r="D737" s="277"/>
    </row>
  </sheetData>
  <mergeCells count="25">
    <mergeCell ref="A6:D6"/>
    <mergeCell ref="A1:D1"/>
    <mergeCell ref="A2:D2"/>
    <mergeCell ref="A21:D21"/>
    <mergeCell ref="A8:D8"/>
    <mergeCell ref="A9:D9"/>
    <mergeCell ref="A10:D10"/>
    <mergeCell ref="A11:D11"/>
    <mergeCell ref="A12:D12"/>
    <mergeCell ref="A13:D13"/>
    <mergeCell ref="A14:D14"/>
    <mergeCell ref="A15:D15"/>
    <mergeCell ref="A17:D17"/>
    <mergeCell ref="A18:D18"/>
    <mergeCell ref="A20:D20"/>
    <mergeCell ref="A19:D19"/>
    <mergeCell ref="A737:D737"/>
    <mergeCell ref="A22:D22"/>
    <mergeCell ref="D331:D332"/>
    <mergeCell ref="D713:D714"/>
    <mergeCell ref="D239:D241"/>
    <mergeCell ref="D261:D262"/>
    <mergeCell ref="D722:D725"/>
    <mergeCell ref="D329:D330"/>
    <mergeCell ref="D327:D328"/>
  </mergeCells>
  <pageMargins left="0.5" right="0" top="1"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03"/>
  <sheetViews>
    <sheetView zoomScale="68" zoomScaleNormal="68" workbookViewId="0">
      <selection activeCell="T7" sqref="T1:U1048576"/>
    </sheetView>
  </sheetViews>
  <sheetFormatPr defaultColWidth="9.140625" defaultRowHeight="15" x14ac:dyDescent="0.25"/>
  <cols>
    <col min="1" max="1" width="4.7109375" style="98" customWidth="1"/>
    <col min="2" max="2" width="31" style="98" customWidth="1"/>
    <col min="3" max="3" width="14" style="98" customWidth="1"/>
    <col min="4" max="4" width="13.28515625" style="98" customWidth="1"/>
    <col min="5" max="5" width="14.28515625" style="98" customWidth="1"/>
    <col min="6" max="6" width="13.28515625" style="98" customWidth="1"/>
    <col min="7" max="7" width="12.5703125" style="98" customWidth="1"/>
    <col min="8" max="8" width="12.140625" style="98" customWidth="1"/>
    <col min="9" max="9" width="13" style="98" customWidth="1"/>
    <col min="10" max="10" width="11.85546875" style="98" customWidth="1"/>
    <col min="11" max="11" width="7" style="98" customWidth="1"/>
    <col min="12" max="12" width="11.5703125" style="98" customWidth="1"/>
    <col min="13" max="13" width="11.140625" style="98" customWidth="1"/>
    <col min="14" max="14" width="11.28515625" style="98" customWidth="1"/>
    <col min="15" max="15" width="11.5703125" style="98" customWidth="1"/>
    <col min="16" max="16" width="11.28515625" style="98" customWidth="1"/>
    <col min="17" max="17" width="11.42578125" style="98" customWidth="1"/>
    <col min="18" max="18" width="12.140625" style="98" customWidth="1"/>
    <col min="19" max="19" width="11.42578125" style="98" customWidth="1"/>
    <col min="20" max="20" width="13.28515625" style="98" bestFit="1" customWidth="1"/>
    <col min="21" max="16384" width="9.140625" style="98"/>
  </cols>
  <sheetData>
    <row r="1" spans="1:19" s="35" customFormat="1" ht="15.75" x14ac:dyDescent="0.25">
      <c r="A1" s="124"/>
      <c r="B1" s="34"/>
      <c r="J1" s="288" t="s">
        <v>354</v>
      </c>
      <c r="K1" s="288"/>
      <c r="L1" s="288"/>
      <c r="M1" s="288"/>
      <c r="N1" s="288"/>
      <c r="O1" s="288"/>
      <c r="P1" s="288"/>
      <c r="Q1" s="288"/>
      <c r="R1" s="288"/>
      <c r="S1" s="288"/>
    </row>
    <row r="2" spans="1:19" s="168" customFormat="1" ht="18.75" x14ac:dyDescent="0.3">
      <c r="A2" s="289" t="s">
        <v>550</v>
      </c>
      <c r="B2" s="289"/>
      <c r="C2" s="289"/>
      <c r="D2" s="289"/>
      <c r="E2" s="289"/>
      <c r="F2" s="289"/>
      <c r="G2" s="289"/>
      <c r="H2" s="289"/>
      <c r="I2" s="289"/>
      <c r="J2" s="289"/>
      <c r="K2" s="289"/>
      <c r="L2" s="289"/>
      <c r="M2" s="289"/>
      <c r="N2" s="289"/>
      <c r="O2" s="289"/>
      <c r="P2" s="289"/>
      <c r="Q2" s="289"/>
      <c r="R2" s="289"/>
      <c r="S2" s="289"/>
    </row>
    <row r="3" spans="1:19" s="168" customFormat="1" ht="18.75" x14ac:dyDescent="0.3">
      <c r="A3" s="290" t="str">
        <f>'PHƯƠNG AN 2024'!A2:D2</f>
        <v>(kèm theo Tờ trình số 79/TTr-UBND ngày 05/12/2024 của UBND huyện Sơn Tây)</v>
      </c>
      <c r="B3" s="290"/>
      <c r="C3" s="290"/>
      <c r="D3" s="290"/>
      <c r="E3" s="290"/>
      <c r="F3" s="290"/>
      <c r="G3" s="290"/>
      <c r="H3" s="290"/>
      <c r="I3" s="290"/>
      <c r="J3" s="290"/>
      <c r="K3" s="290"/>
      <c r="L3" s="290"/>
      <c r="M3" s="290"/>
      <c r="N3" s="290"/>
      <c r="O3" s="290"/>
      <c r="P3" s="290"/>
      <c r="Q3" s="290"/>
      <c r="R3" s="290"/>
      <c r="S3" s="290"/>
    </row>
    <row r="4" spans="1:19" s="35" customFormat="1" ht="15.75" x14ac:dyDescent="0.25">
      <c r="A4" s="36"/>
      <c r="N4" s="287" t="s">
        <v>266</v>
      </c>
      <c r="O4" s="287"/>
      <c r="P4" s="287"/>
      <c r="Q4" s="287"/>
      <c r="R4" s="287"/>
      <c r="S4" s="287"/>
    </row>
    <row r="5" spans="1:19" s="37" customFormat="1" ht="20.100000000000001" customHeight="1" x14ac:dyDescent="0.25">
      <c r="A5" s="291" t="s">
        <v>198</v>
      </c>
      <c r="B5" s="294" t="s">
        <v>267</v>
      </c>
      <c r="C5" s="297" t="s">
        <v>604</v>
      </c>
      <c r="D5" s="299" t="s">
        <v>356</v>
      </c>
      <c r="E5" s="300"/>
      <c r="F5" s="300"/>
      <c r="G5" s="300"/>
      <c r="H5" s="300"/>
      <c r="I5" s="300"/>
      <c r="J5" s="300"/>
      <c r="K5" s="300"/>
      <c r="L5" s="300"/>
      <c r="M5" s="300"/>
      <c r="N5" s="300"/>
      <c r="O5" s="300"/>
      <c r="P5" s="300"/>
      <c r="Q5" s="300"/>
      <c r="R5" s="300"/>
      <c r="S5" s="301"/>
    </row>
    <row r="6" spans="1:19" s="37" customFormat="1" ht="20.100000000000001" customHeight="1" x14ac:dyDescent="0.25">
      <c r="A6" s="292"/>
      <c r="B6" s="295"/>
      <c r="C6" s="295"/>
      <c r="D6" s="295" t="s">
        <v>268</v>
      </c>
      <c r="E6" s="295" t="s">
        <v>269</v>
      </c>
      <c r="F6" s="295" t="s">
        <v>270</v>
      </c>
      <c r="G6" s="302" t="s">
        <v>271</v>
      </c>
      <c r="H6" s="302"/>
      <c r="I6" s="302"/>
      <c r="J6" s="302"/>
      <c r="K6" s="302"/>
      <c r="L6" s="302"/>
      <c r="M6" s="302"/>
      <c r="N6" s="302"/>
      <c r="O6" s="302"/>
      <c r="P6" s="302" t="s">
        <v>568</v>
      </c>
      <c r="Q6" s="302" t="s">
        <v>280</v>
      </c>
      <c r="R6" s="302" t="s">
        <v>281</v>
      </c>
      <c r="S6" s="302" t="s">
        <v>282</v>
      </c>
    </row>
    <row r="7" spans="1:19" s="37" customFormat="1" ht="73.5" customHeight="1" x14ac:dyDescent="0.25">
      <c r="A7" s="293"/>
      <c r="B7" s="296"/>
      <c r="C7" s="298"/>
      <c r="D7" s="298"/>
      <c r="E7" s="298"/>
      <c r="F7" s="298"/>
      <c r="G7" s="126" t="s">
        <v>272</v>
      </c>
      <c r="H7" s="126" t="s">
        <v>273</v>
      </c>
      <c r="I7" s="126" t="s">
        <v>102</v>
      </c>
      <c r="J7" s="126" t="s">
        <v>274</v>
      </c>
      <c r="K7" s="126" t="s">
        <v>275</v>
      </c>
      <c r="L7" s="126" t="s">
        <v>276</v>
      </c>
      <c r="M7" s="126" t="s">
        <v>277</v>
      </c>
      <c r="N7" s="126" t="s">
        <v>278</v>
      </c>
      <c r="O7" s="126" t="s">
        <v>279</v>
      </c>
      <c r="P7" s="302"/>
      <c r="Q7" s="302"/>
      <c r="R7" s="302"/>
      <c r="S7" s="302"/>
    </row>
    <row r="8" spans="1:19" s="37" customFormat="1" ht="12.75" x14ac:dyDescent="0.25">
      <c r="A8" s="125">
        <v>1</v>
      </c>
      <c r="B8" s="38" t="s">
        <v>283</v>
      </c>
      <c r="C8" s="38" t="s">
        <v>284</v>
      </c>
      <c r="D8" s="38" t="s">
        <v>285</v>
      </c>
      <c r="E8" s="38" t="s">
        <v>286</v>
      </c>
      <c r="F8" s="38" t="s">
        <v>287</v>
      </c>
      <c r="G8" s="38" t="s">
        <v>288</v>
      </c>
      <c r="H8" s="38" t="s">
        <v>289</v>
      </c>
      <c r="I8" s="38" t="s">
        <v>290</v>
      </c>
      <c r="J8" s="38" t="s">
        <v>291</v>
      </c>
      <c r="K8" s="38" t="s">
        <v>292</v>
      </c>
      <c r="L8" s="38" t="s">
        <v>293</v>
      </c>
      <c r="M8" s="38" t="s">
        <v>294</v>
      </c>
      <c r="N8" s="38" t="s">
        <v>295</v>
      </c>
      <c r="O8" s="38" t="s">
        <v>296</v>
      </c>
      <c r="P8" s="38" t="s">
        <v>297</v>
      </c>
      <c r="Q8" s="38" t="s">
        <v>298</v>
      </c>
      <c r="R8" s="38" t="s">
        <v>299</v>
      </c>
      <c r="S8" s="38" t="s">
        <v>300</v>
      </c>
    </row>
    <row r="9" spans="1:19" s="113" customFormat="1" ht="29.25" customHeight="1" x14ac:dyDescent="0.25">
      <c r="A9" s="110"/>
      <c r="B9" s="111" t="s">
        <v>301</v>
      </c>
      <c r="C9" s="112">
        <f>C10+C11</f>
        <v>372055000000</v>
      </c>
      <c r="D9" s="112">
        <f>D10+D11</f>
        <v>19265000000</v>
      </c>
      <c r="E9" s="112">
        <f>E10+E11</f>
        <v>105227054000</v>
      </c>
      <c r="F9" s="112">
        <f t="shared" ref="F9:R9" si="0">F10+F11</f>
        <v>232566920000</v>
      </c>
      <c r="G9" s="112">
        <f t="shared" si="0"/>
        <v>10771100000</v>
      </c>
      <c r="H9" s="112">
        <f t="shared" si="0"/>
        <v>1589712000</v>
      </c>
      <c r="I9" s="112">
        <f t="shared" si="0"/>
        <v>203457670000</v>
      </c>
      <c r="J9" s="112">
        <f t="shared" si="0"/>
        <v>830901000</v>
      </c>
      <c r="K9" s="112">
        <f t="shared" si="0"/>
        <v>0</v>
      </c>
      <c r="L9" s="112">
        <f t="shared" si="0"/>
        <v>1067837000</v>
      </c>
      <c r="M9" s="112">
        <f t="shared" si="0"/>
        <v>1220962000</v>
      </c>
      <c r="N9" s="112">
        <f t="shared" si="0"/>
        <v>1348579000</v>
      </c>
      <c r="O9" s="112">
        <f t="shared" si="0"/>
        <v>12280159000</v>
      </c>
      <c r="P9" s="112">
        <f t="shared" si="0"/>
        <v>2784254000</v>
      </c>
      <c r="Q9" s="112">
        <f t="shared" si="0"/>
        <v>1611013000</v>
      </c>
      <c r="R9" s="112">
        <f t="shared" si="0"/>
        <v>3549450000</v>
      </c>
      <c r="S9" s="112">
        <f>S10+S11</f>
        <v>7051309000</v>
      </c>
    </row>
    <row r="10" spans="1:19" s="136" customFormat="1" ht="25.15" customHeight="1" x14ac:dyDescent="0.25">
      <c r="A10" s="110"/>
      <c r="B10" s="137" t="s">
        <v>302</v>
      </c>
      <c r="C10" s="135">
        <f>C12</f>
        <v>301928908000</v>
      </c>
      <c r="D10" s="135">
        <f>D13</f>
        <v>19265000000</v>
      </c>
      <c r="E10" s="135">
        <f>E12</f>
        <v>43358754000</v>
      </c>
      <c r="F10" s="135">
        <f>F12</f>
        <v>229346777000</v>
      </c>
      <c r="G10" s="135">
        <f t="shared" ref="G10:S10" si="1">G12</f>
        <v>8904268000</v>
      </c>
      <c r="H10" s="135">
        <f t="shared" si="1"/>
        <v>1320000000</v>
      </c>
      <c r="I10" s="135">
        <f t="shared" si="1"/>
        <v>203457670000</v>
      </c>
      <c r="J10" s="135">
        <f t="shared" si="1"/>
        <v>830901000</v>
      </c>
      <c r="K10" s="135">
        <f t="shared" si="1"/>
        <v>0</v>
      </c>
      <c r="L10" s="138">
        <f t="shared" si="1"/>
        <v>904492000</v>
      </c>
      <c r="M10" s="138">
        <f t="shared" si="1"/>
        <v>605756000</v>
      </c>
      <c r="N10" s="138">
        <f t="shared" si="1"/>
        <v>1210690000</v>
      </c>
      <c r="O10" s="135">
        <f>O12</f>
        <v>12113000000</v>
      </c>
      <c r="P10" s="135">
        <f t="shared" si="1"/>
        <v>534000000</v>
      </c>
      <c r="Q10" s="135">
        <f t="shared" si="1"/>
        <v>534000000</v>
      </c>
      <c r="R10" s="135">
        <f t="shared" si="1"/>
        <v>3207377000</v>
      </c>
      <c r="S10" s="135">
        <f t="shared" si="1"/>
        <v>5683000000</v>
      </c>
    </row>
    <row r="11" spans="1:19" s="136" customFormat="1" ht="25.15" customHeight="1" x14ac:dyDescent="0.25">
      <c r="A11" s="110"/>
      <c r="B11" s="137" t="s">
        <v>303</v>
      </c>
      <c r="C11" s="135">
        <f>C92</f>
        <v>70126092000</v>
      </c>
      <c r="D11" s="135">
        <f>D92</f>
        <v>0</v>
      </c>
      <c r="E11" s="135">
        <f>E92</f>
        <v>61868300000</v>
      </c>
      <c r="F11" s="135">
        <f>F92</f>
        <v>3220143000</v>
      </c>
      <c r="G11" s="135">
        <f t="shared" ref="G11:S11" si="2">G92</f>
        <v>1866832000</v>
      </c>
      <c r="H11" s="135">
        <f t="shared" si="2"/>
        <v>269712000</v>
      </c>
      <c r="I11" s="135">
        <f t="shared" si="2"/>
        <v>0</v>
      </c>
      <c r="J11" s="135">
        <f t="shared" si="2"/>
        <v>0</v>
      </c>
      <c r="K11" s="135">
        <f t="shared" si="2"/>
        <v>0</v>
      </c>
      <c r="L11" s="135">
        <f t="shared" si="2"/>
        <v>163345000</v>
      </c>
      <c r="M11" s="135">
        <f t="shared" si="2"/>
        <v>615206000</v>
      </c>
      <c r="N11" s="135">
        <f t="shared" si="2"/>
        <v>137889000</v>
      </c>
      <c r="O11" s="135">
        <f t="shared" si="2"/>
        <v>167159000</v>
      </c>
      <c r="P11" s="135">
        <f t="shared" si="2"/>
        <v>2250254000</v>
      </c>
      <c r="Q11" s="135">
        <f t="shared" si="2"/>
        <v>1077013000</v>
      </c>
      <c r="R11" s="135">
        <f t="shared" si="2"/>
        <v>342073000</v>
      </c>
      <c r="S11" s="135">
        <f t="shared" si="2"/>
        <v>1368309000</v>
      </c>
    </row>
    <row r="12" spans="1:19" s="113" customFormat="1" ht="25.5" customHeight="1" x14ac:dyDescent="0.25">
      <c r="A12" s="114" t="s">
        <v>149</v>
      </c>
      <c r="B12" s="111" t="s">
        <v>304</v>
      </c>
      <c r="C12" s="112">
        <f t="shared" ref="C12:R12" si="3">C13+C14</f>
        <v>301928908000</v>
      </c>
      <c r="D12" s="112">
        <f t="shared" si="3"/>
        <v>19265000000</v>
      </c>
      <c r="E12" s="112">
        <f t="shared" si="3"/>
        <v>43358754000</v>
      </c>
      <c r="F12" s="112">
        <f t="shared" ref="F12" si="4">F13+F14</f>
        <v>229346777000</v>
      </c>
      <c r="G12" s="112">
        <f t="shared" ref="G12" si="5">G13+G14</f>
        <v>8904268000</v>
      </c>
      <c r="H12" s="112">
        <f t="shared" si="3"/>
        <v>1320000000</v>
      </c>
      <c r="I12" s="112">
        <f t="shared" si="3"/>
        <v>203457670000</v>
      </c>
      <c r="J12" s="112">
        <f t="shared" si="3"/>
        <v>830901000</v>
      </c>
      <c r="K12" s="112">
        <f t="shared" si="3"/>
        <v>0</v>
      </c>
      <c r="L12" s="112">
        <f t="shared" si="3"/>
        <v>904492000</v>
      </c>
      <c r="M12" s="112">
        <f t="shared" si="3"/>
        <v>605756000</v>
      </c>
      <c r="N12" s="112">
        <f t="shared" si="3"/>
        <v>1210690000</v>
      </c>
      <c r="O12" s="112">
        <f t="shared" si="3"/>
        <v>12113000000</v>
      </c>
      <c r="P12" s="112">
        <f t="shared" si="3"/>
        <v>534000000</v>
      </c>
      <c r="Q12" s="112">
        <f t="shared" si="3"/>
        <v>534000000</v>
      </c>
      <c r="R12" s="112">
        <f t="shared" si="3"/>
        <v>3207377000</v>
      </c>
      <c r="S12" s="112">
        <f t="shared" ref="S12" si="6">S13+S14</f>
        <v>5683000000</v>
      </c>
    </row>
    <row r="13" spans="1:19" s="113" customFormat="1" ht="25.5" customHeight="1" x14ac:dyDescent="0.25">
      <c r="A13" s="114" t="s">
        <v>117</v>
      </c>
      <c r="B13" s="111" t="s">
        <v>305</v>
      </c>
      <c r="C13" s="112">
        <f>D13+E13+F13+S13</f>
        <v>19265000000</v>
      </c>
      <c r="D13" s="112">
        <f>'PHƯƠNG AN 2024'!C27</f>
        <v>19265000000</v>
      </c>
      <c r="E13" s="112"/>
      <c r="F13" s="42"/>
      <c r="G13" s="112"/>
      <c r="H13" s="112"/>
      <c r="I13" s="112"/>
      <c r="J13" s="112"/>
      <c r="K13" s="112"/>
      <c r="L13" s="112"/>
      <c r="M13" s="112"/>
      <c r="N13" s="112"/>
      <c r="O13" s="112"/>
      <c r="P13" s="112"/>
      <c r="Q13" s="112"/>
      <c r="R13" s="112"/>
      <c r="S13" s="112"/>
    </row>
    <row r="14" spans="1:19" s="113" customFormat="1" ht="21.6" customHeight="1" x14ac:dyDescent="0.25">
      <c r="A14" s="114" t="s">
        <v>306</v>
      </c>
      <c r="B14" s="111" t="s">
        <v>155</v>
      </c>
      <c r="C14" s="112">
        <f t="shared" ref="C14:S14" si="7">C15+C26+C40+C68</f>
        <v>282663908000</v>
      </c>
      <c r="D14" s="112">
        <f t="shared" si="7"/>
        <v>0</v>
      </c>
      <c r="E14" s="112">
        <f t="shared" si="7"/>
        <v>43358754000</v>
      </c>
      <c r="F14" s="112">
        <f t="shared" si="7"/>
        <v>229346777000</v>
      </c>
      <c r="G14" s="112">
        <f t="shared" si="7"/>
        <v>8904268000</v>
      </c>
      <c r="H14" s="112">
        <f t="shared" si="7"/>
        <v>1320000000</v>
      </c>
      <c r="I14" s="112">
        <f t="shared" si="7"/>
        <v>203457670000</v>
      </c>
      <c r="J14" s="112">
        <f t="shared" si="7"/>
        <v>830901000</v>
      </c>
      <c r="K14" s="112">
        <f t="shared" si="7"/>
        <v>0</v>
      </c>
      <c r="L14" s="112">
        <f t="shared" si="7"/>
        <v>904492000</v>
      </c>
      <c r="M14" s="112">
        <f t="shared" si="7"/>
        <v>605756000</v>
      </c>
      <c r="N14" s="112">
        <f t="shared" si="7"/>
        <v>1210690000</v>
      </c>
      <c r="O14" s="112">
        <f t="shared" si="7"/>
        <v>12113000000</v>
      </c>
      <c r="P14" s="112">
        <f t="shared" si="7"/>
        <v>534000000</v>
      </c>
      <c r="Q14" s="112">
        <f t="shared" si="7"/>
        <v>534000000</v>
      </c>
      <c r="R14" s="112">
        <f t="shared" si="7"/>
        <v>3207377000</v>
      </c>
      <c r="S14" s="112">
        <f t="shared" si="7"/>
        <v>5683000000</v>
      </c>
    </row>
    <row r="15" spans="1:19" s="113" customFormat="1" ht="21.6" customHeight="1" x14ac:dyDescent="0.25">
      <c r="A15" s="114">
        <v>1</v>
      </c>
      <c r="B15" s="111" t="s">
        <v>307</v>
      </c>
      <c r="C15" s="112">
        <f>SUM(C16:C25)</f>
        <v>17101773000</v>
      </c>
      <c r="D15" s="112">
        <f t="shared" ref="D15:R15" si="8">SUM(D16:D25)</f>
        <v>0</v>
      </c>
      <c r="E15" s="112">
        <f>SUM(E16:E25)</f>
        <v>17101773000</v>
      </c>
      <c r="F15" s="112">
        <f t="shared" ref="F15" si="9">SUM(F16:F25)</f>
        <v>0</v>
      </c>
      <c r="G15" s="112">
        <f t="shared" ref="G15" si="10">SUM(G16:G25)</f>
        <v>0</v>
      </c>
      <c r="H15" s="112">
        <f t="shared" ref="H15" si="11">SUM(H16:H25)</f>
        <v>0</v>
      </c>
      <c r="I15" s="112">
        <f t="shared" si="8"/>
        <v>0</v>
      </c>
      <c r="J15" s="112">
        <f t="shared" si="8"/>
        <v>0</v>
      </c>
      <c r="K15" s="112">
        <f t="shared" si="8"/>
        <v>0</v>
      </c>
      <c r="L15" s="112">
        <f t="shared" si="8"/>
        <v>0</v>
      </c>
      <c r="M15" s="112">
        <f t="shared" si="8"/>
        <v>0</v>
      </c>
      <c r="N15" s="112">
        <f t="shared" si="8"/>
        <v>0</v>
      </c>
      <c r="O15" s="112">
        <f t="shared" si="8"/>
        <v>0</v>
      </c>
      <c r="P15" s="112">
        <f t="shared" si="8"/>
        <v>0</v>
      </c>
      <c r="Q15" s="112">
        <f t="shared" si="8"/>
        <v>0</v>
      </c>
      <c r="R15" s="112">
        <f t="shared" si="8"/>
        <v>0</v>
      </c>
      <c r="S15" s="112">
        <f t="shared" ref="S15" si="12">SUM(S16:S21)</f>
        <v>0</v>
      </c>
    </row>
    <row r="16" spans="1:19" s="37" customFormat="1" ht="29.65" customHeight="1" x14ac:dyDescent="0.25">
      <c r="A16" s="39"/>
      <c r="B16" s="134" t="s">
        <v>490</v>
      </c>
      <c r="C16" s="42">
        <f>D16+E16+F16+P16+Q16+R16+S16</f>
        <v>1269110000</v>
      </c>
      <c r="D16" s="42"/>
      <c r="E16" s="42">
        <f>'PHƯƠNG AN 2024'!C33</f>
        <v>1269110000</v>
      </c>
      <c r="F16" s="42">
        <f>SUM(G16:O16)</f>
        <v>0</v>
      </c>
      <c r="G16" s="42"/>
      <c r="H16" s="42"/>
      <c r="I16" s="42"/>
      <c r="J16" s="42"/>
      <c r="K16" s="42"/>
      <c r="L16" s="42"/>
      <c r="M16" s="42"/>
      <c r="N16" s="42"/>
      <c r="O16" s="42"/>
      <c r="P16" s="42"/>
      <c r="Q16" s="42"/>
      <c r="R16" s="42"/>
      <c r="S16" s="42"/>
    </row>
    <row r="17" spans="1:19" s="37" customFormat="1" ht="23.1" customHeight="1" x14ac:dyDescent="0.25">
      <c r="A17" s="39"/>
      <c r="B17" s="134" t="s">
        <v>491</v>
      </c>
      <c r="C17" s="42">
        <f t="shared" ref="C17:C25" si="13">D17+E17+F17+P17+Q17+R17+S17</f>
        <v>827749000</v>
      </c>
      <c r="D17" s="42"/>
      <c r="E17" s="42">
        <f>'PHƯƠNG AN 2024'!C44</f>
        <v>827749000</v>
      </c>
      <c r="F17" s="42">
        <f t="shared" ref="F17:F85" si="14">SUM(G17:O17)</f>
        <v>0</v>
      </c>
      <c r="G17" s="42"/>
      <c r="H17" s="42"/>
      <c r="I17" s="42"/>
      <c r="J17" s="42"/>
      <c r="K17" s="42"/>
      <c r="L17" s="42"/>
      <c r="M17" s="42"/>
      <c r="N17" s="42"/>
      <c r="O17" s="42"/>
      <c r="P17" s="42"/>
      <c r="Q17" s="42"/>
      <c r="R17" s="42"/>
      <c r="S17" s="42"/>
    </row>
    <row r="18" spans="1:19" s="37" customFormat="1" ht="29.1" customHeight="1" x14ac:dyDescent="0.25">
      <c r="A18" s="39"/>
      <c r="B18" s="134" t="s">
        <v>492</v>
      </c>
      <c r="C18" s="42">
        <f t="shared" si="13"/>
        <v>898082000</v>
      </c>
      <c r="D18" s="42"/>
      <c r="E18" s="42">
        <f>'PHƯƠNG AN 2024'!C52</f>
        <v>898082000</v>
      </c>
      <c r="F18" s="42">
        <f t="shared" si="14"/>
        <v>0</v>
      </c>
      <c r="G18" s="42"/>
      <c r="H18" s="42"/>
      <c r="I18" s="42"/>
      <c r="J18" s="42"/>
      <c r="K18" s="42"/>
      <c r="L18" s="42"/>
      <c r="M18" s="42"/>
      <c r="N18" s="42"/>
      <c r="O18" s="42"/>
      <c r="P18" s="42"/>
      <c r="Q18" s="42"/>
      <c r="R18" s="42"/>
      <c r="S18" s="42"/>
    </row>
    <row r="19" spans="1:19" s="37" customFormat="1" ht="23.1" customHeight="1" x14ac:dyDescent="0.25">
      <c r="A19" s="39"/>
      <c r="B19" s="134" t="s">
        <v>493</v>
      </c>
      <c r="C19" s="42">
        <f t="shared" si="13"/>
        <v>1137909000</v>
      </c>
      <c r="D19" s="42"/>
      <c r="E19" s="42">
        <f>'PHƯƠNG AN 2024'!C59</f>
        <v>1137909000</v>
      </c>
      <c r="F19" s="42">
        <f t="shared" si="14"/>
        <v>0</v>
      </c>
      <c r="G19" s="42"/>
      <c r="H19" s="42"/>
      <c r="I19" s="42"/>
      <c r="J19" s="42"/>
      <c r="K19" s="42"/>
      <c r="L19" s="42"/>
      <c r="M19" s="42"/>
      <c r="N19" s="42"/>
      <c r="O19" s="42"/>
      <c r="P19" s="42"/>
      <c r="Q19" s="42"/>
      <c r="R19" s="42"/>
      <c r="S19" s="42"/>
    </row>
    <row r="20" spans="1:19" s="37" customFormat="1" ht="23.1" customHeight="1" x14ac:dyDescent="0.25">
      <c r="A20" s="39"/>
      <c r="B20" s="134" t="s">
        <v>494</v>
      </c>
      <c r="C20" s="42">
        <f t="shared" si="13"/>
        <v>725028000</v>
      </c>
      <c r="D20" s="42"/>
      <c r="E20" s="42">
        <f>'PHƯƠNG AN 2024'!C67</f>
        <v>725028000</v>
      </c>
      <c r="F20" s="42">
        <f t="shared" si="14"/>
        <v>0</v>
      </c>
      <c r="G20" s="42"/>
      <c r="H20" s="42"/>
      <c r="I20" s="42"/>
      <c r="J20" s="42"/>
      <c r="K20" s="42"/>
      <c r="L20" s="42"/>
      <c r="M20" s="42"/>
      <c r="N20" s="42"/>
      <c r="O20" s="42"/>
      <c r="P20" s="42"/>
      <c r="Q20" s="42"/>
      <c r="R20" s="42"/>
      <c r="S20" s="42"/>
    </row>
    <row r="21" spans="1:19" s="37" customFormat="1" ht="23.1" customHeight="1" x14ac:dyDescent="0.25">
      <c r="A21" s="39"/>
      <c r="B21" s="134" t="s">
        <v>489</v>
      </c>
      <c r="C21" s="42">
        <f t="shared" si="13"/>
        <v>11513240000</v>
      </c>
      <c r="D21" s="42"/>
      <c r="E21" s="42">
        <f>'PHƯƠNG AN 2024'!C82</f>
        <v>11513240000</v>
      </c>
      <c r="F21" s="42">
        <f t="shared" si="14"/>
        <v>0</v>
      </c>
      <c r="G21" s="42"/>
      <c r="H21" s="42"/>
      <c r="I21" s="42"/>
      <c r="J21" s="42"/>
      <c r="K21" s="42"/>
      <c r="L21" s="42"/>
      <c r="M21" s="42"/>
      <c r="N21" s="42"/>
      <c r="O21" s="42"/>
      <c r="P21" s="42"/>
      <c r="Q21" s="42"/>
      <c r="R21" s="42"/>
      <c r="S21" s="42"/>
    </row>
    <row r="22" spans="1:19" s="41" customFormat="1" ht="29.1" customHeight="1" x14ac:dyDescent="0.25">
      <c r="A22" s="43"/>
      <c r="B22" s="45" t="s">
        <v>317</v>
      </c>
      <c r="C22" s="42">
        <f t="shared" si="13"/>
        <v>87816000</v>
      </c>
      <c r="D22" s="42"/>
      <c r="E22" s="46">
        <f>'PHƯƠNG AN 2024'!C75+12000000</f>
        <v>87816000</v>
      </c>
      <c r="F22" s="42">
        <f t="shared" si="14"/>
        <v>0</v>
      </c>
      <c r="G22" s="42"/>
      <c r="H22" s="42"/>
      <c r="I22" s="42"/>
      <c r="J22" s="42"/>
      <c r="K22" s="42"/>
      <c r="L22" s="42"/>
      <c r="M22" s="42"/>
      <c r="N22" s="42"/>
      <c r="O22" s="42"/>
      <c r="P22" s="42"/>
      <c r="Q22" s="42"/>
      <c r="R22" s="42"/>
      <c r="S22" s="42"/>
    </row>
    <row r="23" spans="1:19" s="41" customFormat="1" ht="23.65" customHeight="1" x14ac:dyDescent="0.25">
      <c r="A23" s="43"/>
      <c r="B23" s="45" t="s">
        <v>318</v>
      </c>
      <c r="C23" s="42">
        <f t="shared" si="13"/>
        <v>79392000</v>
      </c>
      <c r="D23" s="42"/>
      <c r="E23" s="46">
        <f>'PHƯƠNG AN 2024'!C76+12000000</f>
        <v>79392000</v>
      </c>
      <c r="F23" s="42">
        <f t="shared" si="14"/>
        <v>0</v>
      </c>
      <c r="G23" s="42"/>
      <c r="H23" s="42"/>
      <c r="I23" s="42"/>
      <c r="J23" s="42"/>
      <c r="K23" s="42"/>
      <c r="L23" s="42"/>
      <c r="M23" s="42"/>
      <c r="N23" s="42"/>
      <c r="O23" s="42"/>
      <c r="P23" s="42"/>
      <c r="Q23" s="42"/>
      <c r="R23" s="42"/>
      <c r="S23" s="42"/>
    </row>
    <row r="24" spans="1:19" s="41" customFormat="1" ht="23.65" customHeight="1" x14ac:dyDescent="0.25">
      <c r="A24" s="43"/>
      <c r="B24" s="45" t="s">
        <v>319</v>
      </c>
      <c r="C24" s="42">
        <f t="shared" si="13"/>
        <v>155208000</v>
      </c>
      <c r="D24" s="42"/>
      <c r="E24" s="46">
        <f>'PHƯƠNG AN 2024'!C77+12000000</f>
        <v>155208000</v>
      </c>
      <c r="F24" s="42">
        <f t="shared" si="14"/>
        <v>0</v>
      </c>
      <c r="G24" s="42"/>
      <c r="H24" s="42"/>
      <c r="I24" s="42"/>
      <c r="J24" s="42"/>
      <c r="K24" s="42"/>
      <c r="L24" s="42"/>
      <c r="M24" s="42"/>
      <c r="N24" s="42"/>
      <c r="O24" s="42"/>
      <c r="P24" s="42"/>
      <c r="Q24" s="42"/>
      <c r="R24" s="42"/>
      <c r="S24" s="42"/>
    </row>
    <row r="25" spans="1:19" s="41" customFormat="1" ht="23.65" customHeight="1" x14ac:dyDescent="0.25">
      <c r="A25" s="43"/>
      <c r="B25" s="44" t="s">
        <v>320</v>
      </c>
      <c r="C25" s="42">
        <f t="shared" si="13"/>
        <v>408239000</v>
      </c>
      <c r="D25" s="42"/>
      <c r="E25" s="42">
        <f>'PHƯƠNG AN 2024'!C80+'PHƯƠNG AN 2024'!C81</f>
        <v>408239000</v>
      </c>
      <c r="F25" s="42">
        <f t="shared" si="14"/>
        <v>0</v>
      </c>
      <c r="G25" s="42"/>
      <c r="H25" s="42"/>
      <c r="I25" s="42"/>
      <c r="J25" s="42"/>
      <c r="K25" s="42"/>
      <c r="L25" s="42"/>
      <c r="M25" s="42"/>
      <c r="N25" s="42"/>
      <c r="O25" s="42"/>
      <c r="P25" s="42"/>
      <c r="Q25" s="42"/>
      <c r="R25" s="42"/>
      <c r="S25" s="42"/>
    </row>
    <row r="26" spans="1:19" s="113" customFormat="1" ht="28.15" customHeight="1" x14ac:dyDescent="0.25">
      <c r="A26" s="114">
        <v>2</v>
      </c>
      <c r="B26" s="111" t="s">
        <v>308</v>
      </c>
      <c r="C26" s="112">
        <f>SUM(C27:C39)</f>
        <v>33379881000</v>
      </c>
      <c r="D26" s="112">
        <f t="shared" ref="D26:S26" si="15">SUM(D27:D39)</f>
        <v>0</v>
      </c>
      <c r="E26" s="112">
        <f t="shared" si="15"/>
        <v>22359881000</v>
      </c>
      <c r="F26" s="112">
        <f t="shared" ref="F26" si="16">SUM(F27:F39)</f>
        <v>11020000000</v>
      </c>
      <c r="G26" s="112">
        <f t="shared" ref="G26" si="17">SUM(G27:G39)</f>
        <v>554000000</v>
      </c>
      <c r="H26" s="112">
        <f t="shared" ref="H26" si="18">SUM(H27:H39)</f>
        <v>120000000</v>
      </c>
      <c r="I26" s="112">
        <f t="shared" ref="I26" si="19">SUM(I27:I39)</f>
        <v>100000000</v>
      </c>
      <c r="J26" s="112">
        <f t="shared" ref="J26" si="20">SUM(J27:J39)</f>
        <v>0</v>
      </c>
      <c r="K26" s="112">
        <f t="shared" ref="K26" si="21">SUM(K27:K39)</f>
        <v>0</v>
      </c>
      <c r="L26" s="112">
        <f t="shared" si="15"/>
        <v>0</v>
      </c>
      <c r="M26" s="112">
        <f t="shared" si="15"/>
        <v>0</v>
      </c>
      <c r="N26" s="112">
        <f t="shared" si="15"/>
        <v>0</v>
      </c>
      <c r="O26" s="112">
        <f t="shared" si="15"/>
        <v>10246000000</v>
      </c>
      <c r="P26" s="112">
        <f t="shared" si="15"/>
        <v>0</v>
      </c>
      <c r="Q26" s="112">
        <f t="shared" si="15"/>
        <v>0</v>
      </c>
      <c r="R26" s="112">
        <f t="shared" si="15"/>
        <v>0</v>
      </c>
      <c r="S26" s="112">
        <f t="shared" si="15"/>
        <v>0</v>
      </c>
    </row>
    <row r="27" spans="1:19" s="37" customFormat="1" ht="32.1" customHeight="1" x14ac:dyDescent="0.25">
      <c r="A27" s="43"/>
      <c r="B27" s="44" t="s">
        <v>314</v>
      </c>
      <c r="C27" s="42">
        <f>D27+E27+F27+P27+Q27+R27+S27</f>
        <v>1195763000</v>
      </c>
      <c r="D27" s="42"/>
      <c r="E27" s="42">
        <f>'PHƯƠNG AN 2024'!C131-F27</f>
        <v>771763000</v>
      </c>
      <c r="F27" s="42">
        <f t="shared" si="14"/>
        <v>424000000</v>
      </c>
      <c r="G27" s="42">
        <f>'PHƯƠNG AN 2024'!C139+'PHƯƠNG AN 2024'!C140</f>
        <v>304000000</v>
      </c>
      <c r="H27" s="42">
        <f>'PHƯƠNG AN 2024'!C142</f>
        <v>120000000</v>
      </c>
      <c r="I27" s="42"/>
      <c r="J27" s="42"/>
      <c r="K27" s="42"/>
      <c r="L27" s="42"/>
      <c r="M27" s="42"/>
      <c r="N27" s="42"/>
      <c r="O27" s="42"/>
      <c r="P27" s="42"/>
      <c r="Q27" s="42"/>
      <c r="R27" s="42"/>
      <c r="S27" s="42"/>
    </row>
    <row r="28" spans="1:19" s="37" customFormat="1" ht="28.5" customHeight="1" x14ac:dyDescent="0.25">
      <c r="A28" s="43"/>
      <c r="B28" s="44" t="s">
        <v>310</v>
      </c>
      <c r="C28" s="42">
        <f t="shared" ref="C28:C39" si="22">D28+E28+F28+P28+Q28+R28+S28</f>
        <v>1493214000</v>
      </c>
      <c r="D28" s="42"/>
      <c r="E28" s="42">
        <f>'PHƯƠNG AN 2024'!C143</f>
        <v>1493214000</v>
      </c>
      <c r="F28" s="42">
        <f t="shared" si="14"/>
        <v>0</v>
      </c>
      <c r="G28" s="42"/>
      <c r="H28" s="42"/>
      <c r="I28" s="42"/>
      <c r="J28" s="42"/>
      <c r="K28" s="42"/>
      <c r="L28" s="42"/>
      <c r="M28" s="42"/>
      <c r="N28" s="42"/>
      <c r="O28" s="42"/>
      <c r="P28" s="42"/>
      <c r="Q28" s="42"/>
      <c r="R28" s="42"/>
      <c r="S28" s="42"/>
    </row>
    <row r="29" spans="1:19" s="37" customFormat="1" ht="28.15" customHeight="1" x14ac:dyDescent="0.25">
      <c r="A29" s="43"/>
      <c r="B29" s="44" t="s">
        <v>313</v>
      </c>
      <c r="C29" s="42">
        <f t="shared" si="22"/>
        <v>873169000</v>
      </c>
      <c r="D29" s="42"/>
      <c r="E29" s="42">
        <f>'PHƯƠNG AN 2024'!C156-'PHƯƠNG AN 2024'!C165</f>
        <v>873169000</v>
      </c>
      <c r="F29" s="42">
        <f t="shared" si="14"/>
        <v>0</v>
      </c>
      <c r="G29" s="42"/>
      <c r="H29" s="42"/>
      <c r="I29" s="42"/>
      <c r="J29" s="42"/>
      <c r="K29" s="42"/>
      <c r="L29" s="42"/>
      <c r="M29" s="42"/>
      <c r="N29" s="42"/>
      <c r="O29" s="42"/>
      <c r="P29" s="42"/>
      <c r="Q29" s="42"/>
      <c r="R29" s="42"/>
      <c r="S29" s="42"/>
    </row>
    <row r="30" spans="1:19" s="37" customFormat="1" ht="32.1" customHeight="1" x14ac:dyDescent="0.25">
      <c r="A30" s="43"/>
      <c r="B30" s="44" t="s">
        <v>349</v>
      </c>
      <c r="C30" s="42">
        <f t="shared" si="22"/>
        <v>469688000</v>
      </c>
      <c r="D30" s="42"/>
      <c r="E30" s="42">
        <f>'PHƯƠNG AN 2024'!C166</f>
        <v>469688000</v>
      </c>
      <c r="F30" s="42">
        <f t="shared" si="14"/>
        <v>0</v>
      </c>
      <c r="G30" s="42"/>
      <c r="H30" s="42"/>
      <c r="I30" s="42"/>
      <c r="J30" s="42"/>
      <c r="K30" s="42"/>
      <c r="L30" s="42"/>
      <c r="M30" s="42"/>
      <c r="N30" s="42"/>
      <c r="O30" s="42"/>
      <c r="P30" s="42"/>
      <c r="Q30" s="42"/>
      <c r="R30" s="42"/>
      <c r="S30" s="42"/>
    </row>
    <row r="31" spans="1:19" s="37" customFormat="1" ht="31.15" customHeight="1" x14ac:dyDescent="0.25">
      <c r="A31" s="43"/>
      <c r="B31" s="44" t="s">
        <v>309</v>
      </c>
      <c r="C31" s="42">
        <f t="shared" si="22"/>
        <v>659599000</v>
      </c>
      <c r="D31" s="42"/>
      <c r="E31" s="42">
        <f>'PHƯƠNG AN 2024'!C177-G31</f>
        <v>659599000</v>
      </c>
      <c r="F31" s="42">
        <f t="shared" si="14"/>
        <v>0</v>
      </c>
      <c r="G31" s="42"/>
      <c r="H31" s="42"/>
      <c r="I31" s="42"/>
      <c r="J31" s="42"/>
      <c r="K31" s="42"/>
      <c r="L31" s="42"/>
      <c r="M31" s="42"/>
      <c r="N31" s="42"/>
      <c r="O31" s="42"/>
      <c r="P31" s="42"/>
      <c r="Q31" s="42"/>
      <c r="R31" s="42"/>
      <c r="S31" s="42"/>
    </row>
    <row r="32" spans="1:19" s="37" customFormat="1" ht="32.1" customHeight="1" x14ac:dyDescent="0.25">
      <c r="A32" s="43"/>
      <c r="B32" s="44" t="s">
        <v>348</v>
      </c>
      <c r="C32" s="42">
        <f t="shared" si="22"/>
        <v>2851759000</v>
      </c>
      <c r="D32" s="42"/>
      <c r="E32" s="42">
        <f>'PHƯƠNG AN 2024'!C187</f>
        <v>2851759000</v>
      </c>
      <c r="F32" s="42">
        <f t="shared" si="14"/>
        <v>0</v>
      </c>
      <c r="G32" s="42"/>
      <c r="H32" s="42"/>
      <c r="I32" s="42"/>
      <c r="J32" s="42"/>
      <c r="K32" s="42"/>
      <c r="L32" s="42"/>
      <c r="M32" s="42"/>
      <c r="N32" s="42"/>
      <c r="O32" s="42"/>
      <c r="P32" s="42"/>
      <c r="Q32" s="42"/>
      <c r="R32" s="42"/>
      <c r="S32" s="42"/>
    </row>
    <row r="33" spans="1:19" s="37" customFormat="1" ht="26.1" customHeight="1" x14ac:dyDescent="0.25">
      <c r="A33" s="43"/>
      <c r="B33" s="44" t="s">
        <v>224</v>
      </c>
      <c r="C33" s="42">
        <f t="shared" si="22"/>
        <v>445263000</v>
      </c>
      <c r="D33" s="42"/>
      <c r="E33" s="42">
        <f>'PHƯƠNG AN 2024'!C200</f>
        <v>445263000</v>
      </c>
      <c r="F33" s="42">
        <f t="shared" si="14"/>
        <v>0</v>
      </c>
      <c r="G33" s="42"/>
      <c r="H33" s="42"/>
      <c r="I33" s="42"/>
      <c r="J33" s="42"/>
      <c r="K33" s="42"/>
      <c r="L33" s="42"/>
      <c r="M33" s="42"/>
      <c r="N33" s="42"/>
      <c r="O33" s="42"/>
      <c r="P33" s="42"/>
      <c r="Q33" s="42"/>
      <c r="R33" s="42"/>
      <c r="S33" s="42"/>
    </row>
    <row r="34" spans="1:19" s="37" customFormat="1" ht="26.1" customHeight="1" x14ac:dyDescent="0.25">
      <c r="A34" s="43"/>
      <c r="B34" s="44" t="s">
        <v>311</v>
      </c>
      <c r="C34" s="42">
        <f t="shared" si="22"/>
        <v>2112443000</v>
      </c>
      <c r="D34" s="42"/>
      <c r="E34" s="42">
        <f>'PHƯƠNG AN 2024'!C208-G34</f>
        <v>1862443000</v>
      </c>
      <c r="F34" s="42">
        <f t="shared" si="14"/>
        <v>250000000</v>
      </c>
      <c r="G34" s="42">
        <v>250000000</v>
      </c>
      <c r="H34" s="42"/>
      <c r="I34" s="42"/>
      <c r="J34" s="42"/>
      <c r="K34" s="42"/>
      <c r="L34" s="42"/>
      <c r="M34" s="42"/>
      <c r="N34" s="42"/>
      <c r="O34" s="42"/>
      <c r="P34" s="42"/>
      <c r="Q34" s="42"/>
      <c r="R34" s="42"/>
      <c r="S34" s="42"/>
    </row>
    <row r="35" spans="1:19" s="37" customFormat="1" ht="26.1" customHeight="1" x14ac:dyDescent="0.25">
      <c r="A35" s="43"/>
      <c r="B35" s="44" t="s">
        <v>312</v>
      </c>
      <c r="C35" s="42">
        <f t="shared" si="22"/>
        <v>1397673000</v>
      </c>
      <c r="D35" s="42"/>
      <c r="E35" s="42">
        <f>'PHƯƠNG AN 2024'!C221</f>
        <v>1397673000</v>
      </c>
      <c r="F35" s="42">
        <f t="shared" si="14"/>
        <v>0</v>
      </c>
      <c r="G35" s="42"/>
      <c r="H35" s="42"/>
      <c r="I35" s="42"/>
      <c r="J35" s="42"/>
      <c r="K35" s="42"/>
      <c r="L35" s="42"/>
      <c r="M35" s="42"/>
      <c r="N35" s="42"/>
      <c r="O35" s="42"/>
      <c r="P35" s="42"/>
      <c r="Q35" s="42"/>
      <c r="R35" s="42"/>
      <c r="S35" s="42"/>
    </row>
    <row r="36" spans="1:19" s="37" customFormat="1" ht="35.65" customHeight="1" x14ac:dyDescent="0.25">
      <c r="A36" s="43"/>
      <c r="B36" s="44" t="s">
        <v>376</v>
      </c>
      <c r="C36" s="42">
        <f t="shared" si="22"/>
        <v>10537916000</v>
      </c>
      <c r="D36" s="42"/>
      <c r="E36" s="42">
        <f>'PHƯƠNG AN 2024'!C228-'PHƯƠNG AN 2024'!C239-'PHƯƠNG AN 2024'!C240-'PHƯƠNG AN 2024'!C241</f>
        <v>1626916000</v>
      </c>
      <c r="F36" s="42">
        <f t="shared" si="14"/>
        <v>8911000000</v>
      </c>
      <c r="G36" s="42"/>
      <c r="H36" s="42"/>
      <c r="I36" s="42">
        <f>'PHƯƠNG AN 2024'!C239</f>
        <v>100000000</v>
      </c>
      <c r="J36" s="42"/>
      <c r="K36" s="42"/>
      <c r="L36" s="42"/>
      <c r="M36" s="42"/>
      <c r="N36" s="42"/>
      <c r="O36" s="42">
        <f>'PHƯƠNG AN 2024'!C240+'PHƯƠNG AN 2024'!C241</f>
        <v>8811000000</v>
      </c>
      <c r="P36" s="42"/>
      <c r="Q36" s="42"/>
      <c r="R36" s="42"/>
      <c r="S36" s="42"/>
    </row>
    <row r="37" spans="1:19" s="37" customFormat="1" ht="30" customHeight="1" x14ac:dyDescent="0.25">
      <c r="A37" s="43"/>
      <c r="B37" s="44" t="s">
        <v>315</v>
      </c>
      <c r="C37" s="42">
        <f t="shared" si="22"/>
        <v>877434000</v>
      </c>
      <c r="D37" s="42"/>
      <c r="E37" s="42">
        <f>'PHƯƠNG AN 2024'!C242</f>
        <v>877434000</v>
      </c>
      <c r="F37" s="42">
        <f t="shared" si="14"/>
        <v>0</v>
      </c>
      <c r="G37" s="42"/>
      <c r="H37" s="42"/>
      <c r="I37" s="42"/>
      <c r="J37" s="42"/>
      <c r="K37" s="42"/>
      <c r="L37" s="42"/>
      <c r="M37" s="42"/>
      <c r="N37" s="42"/>
      <c r="O37" s="42"/>
      <c r="P37" s="42"/>
      <c r="Q37" s="42"/>
      <c r="R37" s="42"/>
      <c r="S37" s="42"/>
    </row>
    <row r="38" spans="1:19" s="37" customFormat="1" ht="36" customHeight="1" x14ac:dyDescent="0.25">
      <c r="A38" s="43"/>
      <c r="B38" s="44" t="s">
        <v>316</v>
      </c>
      <c r="C38" s="42">
        <f t="shared" si="22"/>
        <v>2268275000</v>
      </c>
      <c r="D38" s="42"/>
      <c r="E38" s="42">
        <f>'PHƯƠNG AN 2024'!C253-'PHƯƠNG AN 2024'!C261-'PHƯƠNG AN 2024'!C262</f>
        <v>833275000</v>
      </c>
      <c r="F38" s="42">
        <f t="shared" si="14"/>
        <v>1435000000</v>
      </c>
      <c r="G38" s="42"/>
      <c r="H38" s="42"/>
      <c r="I38" s="42"/>
      <c r="J38" s="42"/>
      <c r="K38" s="42"/>
      <c r="L38" s="42"/>
      <c r="M38" s="42"/>
      <c r="N38" s="42"/>
      <c r="O38" s="42">
        <f>'PHƯƠNG AN 2024'!C261+'PHƯƠNG AN 2024'!C262</f>
        <v>1435000000</v>
      </c>
      <c r="P38" s="42"/>
      <c r="Q38" s="42"/>
      <c r="R38" s="42"/>
      <c r="S38" s="42"/>
    </row>
    <row r="39" spans="1:19" s="37" customFormat="1" ht="29.1" customHeight="1" x14ac:dyDescent="0.25">
      <c r="A39" s="43"/>
      <c r="B39" s="44" t="s">
        <v>350</v>
      </c>
      <c r="C39" s="42">
        <f t="shared" si="22"/>
        <v>8197685000</v>
      </c>
      <c r="D39" s="42"/>
      <c r="E39" s="42">
        <f>'PHƯƠNG AN 2024'!C263</f>
        <v>8197685000</v>
      </c>
      <c r="F39" s="42">
        <f t="shared" si="14"/>
        <v>0</v>
      </c>
      <c r="G39" s="42"/>
      <c r="H39" s="42"/>
      <c r="I39" s="42"/>
      <c r="J39" s="42"/>
      <c r="K39" s="42"/>
      <c r="L39" s="42"/>
      <c r="M39" s="42"/>
      <c r="N39" s="42"/>
      <c r="O39" s="42"/>
      <c r="P39" s="42"/>
      <c r="Q39" s="42"/>
      <c r="R39" s="42"/>
      <c r="S39" s="42"/>
    </row>
    <row r="40" spans="1:19" s="41" customFormat="1" ht="28.5" customHeight="1" x14ac:dyDescent="0.25">
      <c r="A40" s="47">
        <v>3</v>
      </c>
      <c r="B40" s="48" t="s">
        <v>496</v>
      </c>
      <c r="C40" s="40">
        <f t="shared" ref="C40:S40" si="23">SUM(C41:C67)</f>
        <v>209134407000</v>
      </c>
      <c r="D40" s="40">
        <f t="shared" si="23"/>
        <v>0</v>
      </c>
      <c r="E40" s="40">
        <f t="shared" si="23"/>
        <v>0</v>
      </c>
      <c r="F40" s="40">
        <f t="shared" si="23"/>
        <v>206166407000</v>
      </c>
      <c r="G40" s="40">
        <f t="shared" si="23"/>
        <v>1956898000</v>
      </c>
      <c r="H40" s="40">
        <f t="shared" si="23"/>
        <v>0</v>
      </c>
      <c r="I40" s="40">
        <f t="shared" si="23"/>
        <v>201357670000</v>
      </c>
      <c r="J40" s="40">
        <f t="shared" si="23"/>
        <v>730901000</v>
      </c>
      <c r="K40" s="40">
        <f t="shared" si="23"/>
        <v>0</v>
      </c>
      <c r="L40" s="40">
        <f t="shared" si="23"/>
        <v>304492000</v>
      </c>
      <c r="M40" s="40">
        <f t="shared" si="23"/>
        <v>605756000</v>
      </c>
      <c r="N40" s="40">
        <f t="shared" si="23"/>
        <v>1210690000</v>
      </c>
      <c r="O40" s="40">
        <f t="shared" si="23"/>
        <v>0</v>
      </c>
      <c r="P40" s="40">
        <f t="shared" si="23"/>
        <v>534000000</v>
      </c>
      <c r="Q40" s="40">
        <f t="shared" si="23"/>
        <v>534000000</v>
      </c>
      <c r="R40" s="40">
        <f t="shared" si="23"/>
        <v>1200000000</v>
      </c>
      <c r="S40" s="40">
        <f t="shared" si="23"/>
        <v>700000000</v>
      </c>
    </row>
    <row r="41" spans="1:19" s="37" customFormat="1" ht="35.1" customHeight="1" x14ac:dyDescent="0.25">
      <c r="A41" s="43">
        <v>24</v>
      </c>
      <c r="B41" s="44" t="s">
        <v>495</v>
      </c>
      <c r="C41" s="42">
        <f>D41+E41+F41+P41+Q41+R41+S41</f>
        <v>2056898000</v>
      </c>
      <c r="D41" s="42"/>
      <c r="E41" s="42"/>
      <c r="F41" s="42">
        <f t="shared" si="14"/>
        <v>1756898000</v>
      </c>
      <c r="G41" s="42">
        <f>'PHƯƠNG AN 2024'!C316-'PHƯƠNG AN 2024'!C323</f>
        <v>1756898000</v>
      </c>
      <c r="H41" s="42"/>
      <c r="I41" s="42"/>
      <c r="J41" s="42"/>
      <c r="K41" s="42"/>
      <c r="L41" s="42"/>
      <c r="M41" s="42"/>
      <c r="N41" s="42"/>
      <c r="O41" s="42"/>
      <c r="P41" s="42"/>
      <c r="Q41" s="42"/>
      <c r="R41" s="42"/>
      <c r="S41" s="42">
        <v>300000000</v>
      </c>
    </row>
    <row r="42" spans="1:19" s="37" customFormat="1" ht="32.1" customHeight="1" x14ac:dyDescent="0.25">
      <c r="A42" s="43">
        <v>25</v>
      </c>
      <c r="B42" s="44" t="s">
        <v>501</v>
      </c>
      <c r="C42" s="42">
        <f t="shared" ref="C42:C67" si="24">D42+E42+F42+P42+Q42+R42+S42</f>
        <v>730901000</v>
      </c>
      <c r="D42" s="42"/>
      <c r="E42" s="42"/>
      <c r="F42" s="42">
        <f t="shared" si="14"/>
        <v>730901000</v>
      </c>
      <c r="G42" s="42"/>
      <c r="H42" s="42"/>
      <c r="I42" s="42"/>
      <c r="J42" s="42">
        <f>'PHƯƠNG AN 2024'!C703</f>
        <v>730901000</v>
      </c>
      <c r="K42" s="42"/>
      <c r="L42" s="42"/>
      <c r="M42" s="42"/>
      <c r="N42" s="42"/>
      <c r="O42" s="42"/>
      <c r="P42" s="42"/>
      <c r="Q42" s="42"/>
      <c r="R42" s="42"/>
      <c r="S42" s="42"/>
    </row>
    <row r="43" spans="1:19" s="37" customFormat="1" ht="32.1" customHeight="1" x14ac:dyDescent="0.25">
      <c r="A43" s="43">
        <v>26</v>
      </c>
      <c r="B43" s="44" t="s">
        <v>377</v>
      </c>
      <c r="C43" s="42">
        <f t="shared" si="24"/>
        <v>2120938000</v>
      </c>
      <c r="D43" s="42"/>
      <c r="E43" s="42"/>
      <c r="F43" s="42">
        <f t="shared" si="14"/>
        <v>2120938000</v>
      </c>
      <c r="G43" s="42"/>
      <c r="H43" s="42"/>
      <c r="I43" s="42"/>
      <c r="J43" s="42"/>
      <c r="K43" s="42"/>
      <c r="L43" s="42">
        <f>'PHƯƠNG AN 2024'!C351</f>
        <v>304492000</v>
      </c>
      <c r="M43" s="42">
        <f>'PHƯƠNG AN 2024'!C344</f>
        <v>605756000</v>
      </c>
      <c r="N43" s="42">
        <f>'PHƯƠNG AN 2024'!C336</f>
        <v>1210690000</v>
      </c>
      <c r="O43" s="42"/>
      <c r="P43" s="42"/>
      <c r="Q43" s="42"/>
      <c r="R43" s="42"/>
      <c r="S43" s="42"/>
    </row>
    <row r="44" spans="1:19" s="37" customFormat="1" ht="38.25" customHeight="1" x14ac:dyDescent="0.25">
      <c r="A44" s="43">
        <v>27</v>
      </c>
      <c r="B44" s="44" t="s">
        <v>522</v>
      </c>
      <c r="C44" s="42">
        <f>D44+E44+F44+P44+Q44+R44+S44</f>
        <v>200000000</v>
      </c>
      <c r="D44" s="42"/>
      <c r="E44" s="42"/>
      <c r="F44" s="42">
        <f>SUM(G44:O44)</f>
        <v>200000000</v>
      </c>
      <c r="G44" s="42">
        <v>200000000</v>
      </c>
      <c r="H44" s="42"/>
      <c r="I44" s="42"/>
      <c r="J44" s="42"/>
      <c r="K44" s="42"/>
      <c r="L44" s="42"/>
      <c r="M44" s="42"/>
      <c r="N44" s="42"/>
      <c r="O44" s="42"/>
      <c r="P44" s="42"/>
      <c r="Q44" s="42"/>
      <c r="R44" s="42"/>
      <c r="S44" s="42"/>
    </row>
    <row r="45" spans="1:19" s="37" customFormat="1" ht="38.25" customHeight="1" x14ac:dyDescent="0.25">
      <c r="A45" s="43">
        <v>28</v>
      </c>
      <c r="B45" s="44" t="s">
        <v>502</v>
      </c>
      <c r="C45" s="42">
        <f t="shared" si="24"/>
        <v>32059271000</v>
      </c>
      <c r="D45" s="42"/>
      <c r="E45" s="42"/>
      <c r="F45" s="42">
        <f t="shared" si="14"/>
        <v>32059271000</v>
      </c>
      <c r="G45" s="42"/>
      <c r="H45" s="42"/>
      <c r="I45" s="42">
        <f>'PHƯƠNG AN 2024'!C359</f>
        <v>32059271000</v>
      </c>
      <c r="J45" s="42"/>
      <c r="K45" s="42"/>
      <c r="L45" s="42"/>
      <c r="M45" s="42"/>
      <c r="N45" s="42"/>
      <c r="O45" s="42"/>
      <c r="P45" s="42"/>
      <c r="Q45" s="42"/>
      <c r="R45" s="42"/>
      <c r="S45" s="42"/>
    </row>
    <row r="46" spans="1:19" s="37" customFormat="1" ht="32.1" customHeight="1" x14ac:dyDescent="0.25">
      <c r="A46" s="43">
        <v>29</v>
      </c>
      <c r="B46" s="44" t="s">
        <v>500</v>
      </c>
      <c r="C46" s="42">
        <f t="shared" si="24"/>
        <v>2027942000</v>
      </c>
      <c r="D46" s="42"/>
      <c r="E46" s="42"/>
      <c r="F46" s="42">
        <f t="shared" si="14"/>
        <v>2027942000</v>
      </c>
      <c r="G46" s="42"/>
      <c r="H46" s="42"/>
      <c r="I46" s="42">
        <f>'PHƯƠNG AN 2024'!C386</f>
        <v>2027942000</v>
      </c>
      <c r="J46" s="42"/>
      <c r="K46" s="42"/>
      <c r="L46" s="42"/>
      <c r="M46" s="42"/>
      <c r="N46" s="42"/>
      <c r="O46" s="42"/>
      <c r="P46" s="42"/>
      <c r="Q46" s="42"/>
      <c r="R46" s="42"/>
      <c r="S46" s="42"/>
    </row>
    <row r="47" spans="1:19" s="37" customFormat="1" ht="32.1" customHeight="1" x14ac:dyDescent="0.25">
      <c r="A47" s="43">
        <v>30</v>
      </c>
      <c r="B47" s="44" t="s">
        <v>503</v>
      </c>
      <c r="C47" s="42">
        <f t="shared" si="24"/>
        <v>5086939000</v>
      </c>
      <c r="D47" s="42"/>
      <c r="E47" s="42"/>
      <c r="F47" s="42">
        <f t="shared" si="14"/>
        <v>5086939000</v>
      </c>
      <c r="G47" s="42"/>
      <c r="H47" s="42"/>
      <c r="I47" s="42">
        <f>'PHƯƠNG AN 2024'!C396</f>
        <v>5086939000</v>
      </c>
      <c r="J47" s="42"/>
      <c r="K47" s="42"/>
      <c r="L47" s="42"/>
      <c r="M47" s="42"/>
      <c r="N47" s="42"/>
      <c r="O47" s="42"/>
      <c r="P47" s="42"/>
      <c r="Q47" s="42"/>
      <c r="R47" s="42"/>
      <c r="S47" s="42"/>
    </row>
    <row r="48" spans="1:19" s="37" customFormat="1" ht="32.1" customHeight="1" x14ac:dyDescent="0.25">
      <c r="A48" s="43">
        <v>31</v>
      </c>
      <c r="B48" s="44" t="s">
        <v>504</v>
      </c>
      <c r="C48" s="42">
        <f t="shared" si="24"/>
        <v>3885386000</v>
      </c>
      <c r="D48" s="42"/>
      <c r="E48" s="42"/>
      <c r="F48" s="42">
        <f t="shared" si="14"/>
        <v>3885386000</v>
      </c>
      <c r="G48" s="42"/>
      <c r="H48" s="42"/>
      <c r="I48" s="42">
        <f>'PHƯƠNG AN 2024'!C406</f>
        <v>3885386000</v>
      </c>
      <c r="J48" s="42"/>
      <c r="K48" s="42"/>
      <c r="L48" s="42"/>
      <c r="M48" s="42"/>
      <c r="N48" s="42"/>
      <c r="O48" s="42"/>
      <c r="P48" s="42"/>
      <c r="Q48" s="42"/>
      <c r="R48" s="42"/>
      <c r="S48" s="42"/>
    </row>
    <row r="49" spans="1:19" s="37" customFormat="1" ht="32.1" customHeight="1" x14ac:dyDescent="0.25">
      <c r="A49" s="43">
        <v>32</v>
      </c>
      <c r="B49" s="44" t="s">
        <v>505</v>
      </c>
      <c r="C49" s="42">
        <f t="shared" si="24"/>
        <v>5773291000</v>
      </c>
      <c r="D49" s="42"/>
      <c r="E49" s="42"/>
      <c r="F49" s="42">
        <f t="shared" si="14"/>
        <v>5773291000</v>
      </c>
      <c r="G49" s="42"/>
      <c r="H49" s="42"/>
      <c r="I49" s="42">
        <f>'PHƯƠNG AN 2024'!C417</f>
        <v>5773291000</v>
      </c>
      <c r="J49" s="42"/>
      <c r="K49" s="42"/>
      <c r="L49" s="42"/>
      <c r="M49" s="42"/>
      <c r="N49" s="42"/>
      <c r="O49" s="42"/>
      <c r="P49" s="42"/>
      <c r="Q49" s="42"/>
      <c r="R49" s="42"/>
      <c r="S49" s="42"/>
    </row>
    <row r="50" spans="1:19" s="37" customFormat="1" ht="32.1" customHeight="1" x14ac:dyDescent="0.25">
      <c r="A50" s="43">
        <v>33</v>
      </c>
      <c r="B50" s="44" t="s">
        <v>506</v>
      </c>
      <c r="C50" s="42">
        <f t="shared" si="24"/>
        <v>9627914000</v>
      </c>
      <c r="D50" s="42"/>
      <c r="E50" s="42"/>
      <c r="F50" s="42">
        <f t="shared" si="14"/>
        <v>9627914000</v>
      </c>
      <c r="G50" s="42"/>
      <c r="H50" s="42"/>
      <c r="I50" s="42">
        <f>'PHƯƠNG AN 2024'!C428</f>
        <v>9627914000</v>
      </c>
      <c r="J50" s="42"/>
      <c r="K50" s="42"/>
      <c r="L50" s="42"/>
      <c r="M50" s="42"/>
      <c r="N50" s="42"/>
      <c r="O50" s="42"/>
      <c r="P50" s="42"/>
      <c r="Q50" s="42"/>
      <c r="R50" s="42"/>
      <c r="S50" s="42"/>
    </row>
    <row r="51" spans="1:19" s="37" customFormat="1" ht="32.1" customHeight="1" x14ac:dyDescent="0.25">
      <c r="A51" s="43">
        <v>34</v>
      </c>
      <c r="B51" s="44" t="s">
        <v>507</v>
      </c>
      <c r="C51" s="42">
        <f t="shared" si="24"/>
        <v>3453836000</v>
      </c>
      <c r="D51" s="42"/>
      <c r="E51" s="42"/>
      <c r="F51" s="42">
        <f t="shared" si="14"/>
        <v>3453836000</v>
      </c>
      <c r="G51" s="42"/>
      <c r="H51" s="42"/>
      <c r="I51" s="42">
        <f>'PHƯƠNG AN 2024'!C439</f>
        <v>3453836000</v>
      </c>
      <c r="J51" s="42"/>
      <c r="K51" s="42"/>
      <c r="L51" s="42"/>
      <c r="M51" s="42"/>
      <c r="N51" s="42"/>
      <c r="O51" s="42"/>
      <c r="P51" s="42"/>
      <c r="Q51" s="42"/>
      <c r="R51" s="42"/>
      <c r="S51" s="42"/>
    </row>
    <row r="52" spans="1:19" s="37" customFormat="1" ht="32.1" customHeight="1" x14ac:dyDescent="0.25">
      <c r="A52" s="43">
        <v>35</v>
      </c>
      <c r="B52" s="44" t="s">
        <v>508</v>
      </c>
      <c r="C52" s="42">
        <f t="shared" si="24"/>
        <v>6675828000</v>
      </c>
      <c r="D52" s="42"/>
      <c r="E52" s="42"/>
      <c r="F52" s="42">
        <f t="shared" si="14"/>
        <v>6675828000</v>
      </c>
      <c r="G52" s="42"/>
      <c r="H52" s="42"/>
      <c r="I52" s="42">
        <f>'PHƯƠNG AN 2024'!C450</f>
        <v>6675828000</v>
      </c>
      <c r="J52" s="42"/>
      <c r="K52" s="42"/>
      <c r="L52" s="42"/>
      <c r="M52" s="42"/>
      <c r="N52" s="42"/>
      <c r="O52" s="42"/>
      <c r="P52" s="42"/>
      <c r="Q52" s="42"/>
      <c r="R52" s="42"/>
      <c r="S52" s="42"/>
    </row>
    <row r="53" spans="1:19" s="37" customFormat="1" ht="32.1" customHeight="1" x14ac:dyDescent="0.25">
      <c r="A53" s="43">
        <v>36</v>
      </c>
      <c r="B53" s="44" t="s">
        <v>509</v>
      </c>
      <c r="C53" s="42">
        <f t="shared" si="24"/>
        <v>2889299000</v>
      </c>
      <c r="D53" s="42"/>
      <c r="E53" s="42"/>
      <c r="F53" s="42">
        <f t="shared" si="14"/>
        <v>2889299000</v>
      </c>
      <c r="G53" s="42"/>
      <c r="H53" s="42"/>
      <c r="I53" s="42">
        <f>'PHƯƠNG AN 2024'!C461</f>
        <v>2889299000</v>
      </c>
      <c r="J53" s="42"/>
      <c r="K53" s="42"/>
      <c r="L53" s="42"/>
      <c r="M53" s="42"/>
      <c r="N53" s="42"/>
      <c r="O53" s="42"/>
      <c r="P53" s="42"/>
      <c r="Q53" s="42"/>
      <c r="R53" s="42"/>
      <c r="S53" s="42"/>
    </row>
    <row r="54" spans="1:19" s="37" customFormat="1" ht="32.1" customHeight="1" x14ac:dyDescent="0.25">
      <c r="A54" s="43">
        <v>37</v>
      </c>
      <c r="B54" s="44" t="s">
        <v>510</v>
      </c>
      <c r="C54" s="42">
        <f t="shared" si="24"/>
        <v>3793910000</v>
      </c>
      <c r="D54" s="42"/>
      <c r="E54" s="42"/>
      <c r="F54" s="42">
        <f t="shared" si="14"/>
        <v>3793910000</v>
      </c>
      <c r="G54" s="42"/>
      <c r="H54" s="42"/>
      <c r="I54" s="42">
        <f>'PHƯƠNG AN 2024'!C472</f>
        <v>3793910000</v>
      </c>
      <c r="J54" s="42"/>
      <c r="K54" s="42"/>
      <c r="L54" s="42"/>
      <c r="M54" s="42"/>
      <c r="N54" s="42"/>
      <c r="O54" s="42"/>
      <c r="P54" s="42"/>
      <c r="Q54" s="42"/>
      <c r="R54" s="42"/>
      <c r="S54" s="42"/>
    </row>
    <row r="55" spans="1:19" s="37" customFormat="1" ht="35.1" customHeight="1" x14ac:dyDescent="0.25">
      <c r="A55" s="43">
        <v>38</v>
      </c>
      <c r="B55" s="44" t="s">
        <v>511</v>
      </c>
      <c r="C55" s="42">
        <f t="shared" si="24"/>
        <v>8351560000</v>
      </c>
      <c r="D55" s="42"/>
      <c r="E55" s="42"/>
      <c r="F55" s="42">
        <f t="shared" si="14"/>
        <v>8351560000</v>
      </c>
      <c r="G55" s="42"/>
      <c r="H55" s="42"/>
      <c r="I55" s="42">
        <f>'PHƯƠNG AN 2024'!C483</f>
        <v>8351560000</v>
      </c>
      <c r="J55" s="42"/>
      <c r="K55" s="42"/>
      <c r="L55" s="42"/>
      <c r="M55" s="42"/>
      <c r="N55" s="42"/>
      <c r="O55" s="42"/>
      <c r="P55" s="42"/>
      <c r="Q55" s="42"/>
      <c r="R55" s="42"/>
      <c r="S55" s="42"/>
    </row>
    <row r="56" spans="1:19" s="37" customFormat="1" ht="32.1" customHeight="1" x14ac:dyDescent="0.25">
      <c r="A56" s="43">
        <v>39</v>
      </c>
      <c r="B56" s="44" t="s">
        <v>512</v>
      </c>
      <c r="C56" s="42">
        <f t="shared" si="24"/>
        <v>10457909000</v>
      </c>
      <c r="D56" s="42"/>
      <c r="E56" s="42"/>
      <c r="F56" s="42">
        <f t="shared" si="14"/>
        <v>10457909000</v>
      </c>
      <c r="G56" s="42"/>
      <c r="H56" s="42"/>
      <c r="I56" s="42">
        <f>'PHƯƠNG AN 2024'!C506</f>
        <v>10457909000</v>
      </c>
      <c r="J56" s="42"/>
      <c r="K56" s="42"/>
      <c r="L56" s="42"/>
      <c r="M56" s="42"/>
      <c r="N56" s="42"/>
      <c r="O56" s="42"/>
      <c r="P56" s="42"/>
      <c r="Q56" s="42"/>
      <c r="R56" s="42"/>
      <c r="S56" s="42"/>
    </row>
    <row r="57" spans="1:19" s="37" customFormat="1" ht="32.1" customHeight="1" x14ac:dyDescent="0.25">
      <c r="A57" s="43">
        <v>40</v>
      </c>
      <c r="B57" s="44" t="s">
        <v>513</v>
      </c>
      <c r="C57" s="42">
        <f t="shared" si="24"/>
        <v>10639984000</v>
      </c>
      <c r="D57" s="42"/>
      <c r="E57" s="42"/>
      <c r="F57" s="42">
        <f t="shared" si="14"/>
        <v>10639984000</v>
      </c>
      <c r="G57" s="42"/>
      <c r="H57" s="42"/>
      <c r="I57" s="42">
        <f>'PHƯƠNG AN 2024'!C529</f>
        <v>10639984000</v>
      </c>
      <c r="J57" s="42"/>
      <c r="K57" s="42"/>
      <c r="L57" s="42"/>
      <c r="M57" s="42"/>
      <c r="N57" s="42"/>
      <c r="O57" s="42"/>
      <c r="P57" s="42"/>
      <c r="Q57" s="42"/>
      <c r="R57" s="42"/>
      <c r="S57" s="42"/>
    </row>
    <row r="58" spans="1:19" s="37" customFormat="1" ht="32.1" customHeight="1" x14ac:dyDescent="0.25">
      <c r="A58" s="43">
        <v>41</v>
      </c>
      <c r="B58" s="44" t="s">
        <v>514</v>
      </c>
      <c r="C58" s="42">
        <f t="shared" si="24"/>
        <v>17447827000</v>
      </c>
      <c r="D58" s="42"/>
      <c r="E58" s="42"/>
      <c r="F58" s="42">
        <f t="shared" si="14"/>
        <v>17447827000</v>
      </c>
      <c r="G58" s="42"/>
      <c r="H58" s="42"/>
      <c r="I58" s="42">
        <f>'PHƯƠNG AN 2024'!C552</f>
        <v>17447827000</v>
      </c>
      <c r="J58" s="42"/>
      <c r="K58" s="42"/>
      <c r="L58" s="42"/>
      <c r="M58" s="42"/>
      <c r="N58" s="42"/>
      <c r="O58" s="42"/>
      <c r="P58" s="42"/>
      <c r="Q58" s="42"/>
      <c r="R58" s="42"/>
      <c r="S58" s="42"/>
    </row>
    <row r="59" spans="1:19" s="37" customFormat="1" ht="32.1" customHeight="1" x14ac:dyDescent="0.25">
      <c r="A59" s="43">
        <v>42</v>
      </c>
      <c r="B59" s="44" t="s">
        <v>515</v>
      </c>
      <c r="C59" s="42">
        <f t="shared" si="24"/>
        <v>18603383000</v>
      </c>
      <c r="D59" s="42"/>
      <c r="E59" s="42"/>
      <c r="F59" s="42">
        <f t="shared" si="14"/>
        <v>18603383000</v>
      </c>
      <c r="G59" s="42"/>
      <c r="H59" s="42"/>
      <c r="I59" s="42">
        <f>'PHƯƠNG AN 2024'!C575</f>
        <v>18603383000</v>
      </c>
      <c r="J59" s="42"/>
      <c r="K59" s="42"/>
      <c r="L59" s="42"/>
      <c r="M59" s="42"/>
      <c r="N59" s="42"/>
      <c r="O59" s="42"/>
      <c r="P59" s="42"/>
      <c r="Q59" s="42"/>
      <c r="R59" s="42"/>
      <c r="S59" s="42"/>
    </row>
    <row r="60" spans="1:19" s="37" customFormat="1" ht="32.1" customHeight="1" x14ac:dyDescent="0.25">
      <c r="A60" s="43">
        <v>43</v>
      </c>
      <c r="B60" s="44" t="s">
        <v>516</v>
      </c>
      <c r="C60" s="42">
        <f t="shared" si="24"/>
        <v>11955077000</v>
      </c>
      <c r="D60" s="42"/>
      <c r="E60" s="42"/>
      <c r="F60" s="42">
        <f t="shared" si="14"/>
        <v>11955077000</v>
      </c>
      <c r="G60" s="42"/>
      <c r="H60" s="42"/>
      <c r="I60" s="42">
        <f>'PHƯƠNG AN 2024'!C598</f>
        <v>11955077000</v>
      </c>
      <c r="J60" s="42"/>
      <c r="K60" s="42"/>
      <c r="L60" s="42"/>
      <c r="M60" s="42"/>
      <c r="N60" s="42"/>
      <c r="O60" s="42"/>
      <c r="P60" s="42"/>
      <c r="Q60" s="42"/>
      <c r="R60" s="42"/>
      <c r="S60" s="42"/>
    </row>
    <row r="61" spans="1:19" s="37" customFormat="1" ht="37.15" customHeight="1" x14ac:dyDescent="0.25">
      <c r="A61" s="43">
        <v>44</v>
      </c>
      <c r="B61" s="44" t="s">
        <v>517</v>
      </c>
      <c r="C61" s="42">
        <f t="shared" si="24"/>
        <v>15536851000</v>
      </c>
      <c r="D61" s="42"/>
      <c r="E61" s="42"/>
      <c r="F61" s="42">
        <f t="shared" si="14"/>
        <v>15536851000</v>
      </c>
      <c r="G61" s="42"/>
      <c r="H61" s="42"/>
      <c r="I61" s="42">
        <f>'PHƯƠNG AN 2024'!C621</f>
        <v>15536851000</v>
      </c>
      <c r="J61" s="42"/>
      <c r="K61" s="42"/>
      <c r="L61" s="42"/>
      <c r="M61" s="42"/>
      <c r="N61" s="42"/>
      <c r="O61" s="42"/>
      <c r="P61" s="42"/>
      <c r="Q61" s="42"/>
      <c r="R61" s="42"/>
      <c r="S61" s="42"/>
    </row>
    <row r="62" spans="1:19" s="37" customFormat="1" ht="32.1" customHeight="1" x14ac:dyDescent="0.25">
      <c r="A62" s="43">
        <v>45</v>
      </c>
      <c r="B62" s="44" t="s">
        <v>518</v>
      </c>
      <c r="C62" s="42">
        <f t="shared" si="24"/>
        <v>10207249000</v>
      </c>
      <c r="D62" s="42"/>
      <c r="E62" s="42"/>
      <c r="F62" s="42">
        <f t="shared" si="14"/>
        <v>10207249000</v>
      </c>
      <c r="G62" s="42"/>
      <c r="H62" s="42"/>
      <c r="I62" s="42">
        <f>'PHƯƠNG AN 2024'!C644</f>
        <v>10207249000</v>
      </c>
      <c r="J62" s="42"/>
      <c r="K62" s="42"/>
      <c r="L62" s="42"/>
      <c r="M62" s="42"/>
      <c r="N62" s="42"/>
      <c r="O62" s="42"/>
      <c r="P62" s="42"/>
      <c r="Q62" s="42"/>
      <c r="R62" s="42"/>
      <c r="S62" s="42"/>
    </row>
    <row r="63" spans="1:19" s="37" customFormat="1" ht="32.1" customHeight="1" x14ac:dyDescent="0.25">
      <c r="A63" s="43">
        <v>46</v>
      </c>
      <c r="B63" s="44" t="s">
        <v>519</v>
      </c>
      <c r="C63" s="42">
        <f t="shared" si="24"/>
        <v>12215171000</v>
      </c>
      <c r="D63" s="42"/>
      <c r="E63" s="42"/>
      <c r="F63" s="42">
        <f t="shared" si="14"/>
        <v>12215171000</v>
      </c>
      <c r="G63" s="42"/>
      <c r="H63" s="42"/>
      <c r="I63" s="42">
        <f>'PHƯƠNG AN 2024'!C667</f>
        <v>12215171000</v>
      </c>
      <c r="J63" s="42"/>
      <c r="K63" s="42"/>
      <c r="L63" s="42"/>
      <c r="M63" s="42"/>
      <c r="N63" s="42"/>
      <c r="O63" s="42"/>
      <c r="P63" s="42"/>
      <c r="Q63" s="42"/>
      <c r="R63" s="42"/>
      <c r="S63" s="42"/>
    </row>
    <row r="64" spans="1:19" s="37" customFormat="1" ht="32.1" customHeight="1" x14ac:dyDescent="0.25">
      <c r="A64" s="43">
        <v>47</v>
      </c>
      <c r="B64" s="44" t="s">
        <v>520</v>
      </c>
      <c r="C64" s="42">
        <f t="shared" si="24"/>
        <v>10669043000</v>
      </c>
      <c r="D64" s="42"/>
      <c r="E64" s="42"/>
      <c r="F64" s="42">
        <f t="shared" si="14"/>
        <v>10669043000</v>
      </c>
      <c r="G64" s="42"/>
      <c r="H64" s="42"/>
      <c r="I64" s="42">
        <f>'PHƯƠNG AN 2024'!C690</f>
        <v>10669043000</v>
      </c>
      <c r="J64" s="42"/>
      <c r="K64" s="42"/>
      <c r="L64" s="42"/>
      <c r="M64" s="42"/>
      <c r="N64" s="42"/>
      <c r="O64" s="42"/>
      <c r="P64" s="42"/>
      <c r="Q64" s="42"/>
      <c r="R64" s="42"/>
      <c r="S64" s="42"/>
    </row>
    <row r="65" spans="1:19" s="37" customFormat="1" ht="32.65" customHeight="1" x14ac:dyDescent="0.25">
      <c r="A65" s="43">
        <v>48</v>
      </c>
      <c r="B65" s="44" t="s">
        <v>497</v>
      </c>
      <c r="C65" s="42">
        <f t="shared" si="24"/>
        <v>934000000</v>
      </c>
      <c r="D65" s="42"/>
      <c r="E65" s="42"/>
      <c r="F65" s="42">
        <f t="shared" si="14"/>
        <v>0</v>
      </c>
      <c r="G65" s="42"/>
      <c r="H65" s="42"/>
      <c r="I65" s="42"/>
      <c r="J65" s="42"/>
      <c r="K65" s="42"/>
      <c r="L65" s="42"/>
      <c r="M65" s="42"/>
      <c r="N65" s="42"/>
      <c r="O65" s="42"/>
      <c r="P65" s="42">
        <f>'PHƯƠNG AN 2024'!C730</f>
        <v>534000000</v>
      </c>
      <c r="Q65" s="42"/>
      <c r="R65" s="42"/>
      <c r="S65" s="42">
        <f>'PHƯƠNG AN 2024'!C728</f>
        <v>400000000</v>
      </c>
    </row>
    <row r="66" spans="1:19" s="37" customFormat="1" ht="31.15" customHeight="1" x14ac:dyDescent="0.25">
      <c r="A66" s="43">
        <v>49</v>
      </c>
      <c r="B66" s="44" t="s">
        <v>498</v>
      </c>
      <c r="C66" s="42">
        <f t="shared" si="24"/>
        <v>534000000</v>
      </c>
      <c r="D66" s="42"/>
      <c r="E66" s="42"/>
      <c r="F66" s="42">
        <f t="shared" si="14"/>
        <v>0</v>
      </c>
      <c r="G66" s="42"/>
      <c r="H66" s="42"/>
      <c r="I66" s="42"/>
      <c r="J66" s="42"/>
      <c r="K66" s="42"/>
      <c r="L66" s="42"/>
      <c r="M66" s="42"/>
      <c r="N66" s="42"/>
      <c r="O66" s="42"/>
      <c r="P66" s="42"/>
      <c r="Q66" s="42">
        <v>534000000</v>
      </c>
      <c r="R66" s="42"/>
      <c r="S66" s="42"/>
    </row>
    <row r="67" spans="1:19" s="37" customFormat="1" ht="28.5" customHeight="1" x14ac:dyDescent="0.25">
      <c r="A67" s="43">
        <v>50</v>
      </c>
      <c r="B67" s="44" t="s">
        <v>499</v>
      </c>
      <c r="C67" s="42">
        <f t="shared" si="24"/>
        <v>1200000000</v>
      </c>
      <c r="D67" s="42"/>
      <c r="E67" s="42"/>
      <c r="F67" s="42">
        <f t="shared" si="14"/>
        <v>0</v>
      </c>
      <c r="G67" s="42"/>
      <c r="H67" s="42"/>
      <c r="I67" s="42"/>
      <c r="J67" s="42"/>
      <c r="K67" s="42"/>
      <c r="L67" s="42"/>
      <c r="M67" s="42"/>
      <c r="N67" s="42"/>
      <c r="O67" s="42"/>
      <c r="P67" s="42"/>
      <c r="Q67" s="42"/>
      <c r="R67" s="42">
        <f>'PHƯƠNG AN 2024'!C715</f>
        <v>1200000000</v>
      </c>
      <c r="S67" s="42"/>
    </row>
    <row r="68" spans="1:19" s="113" customFormat="1" ht="31.15" customHeight="1" x14ac:dyDescent="0.25">
      <c r="A68" s="116"/>
      <c r="B68" s="115" t="s">
        <v>521</v>
      </c>
      <c r="C68" s="112">
        <f t="shared" ref="C68:S68" si="25">SUM(C69:C91)</f>
        <v>23047847000</v>
      </c>
      <c r="D68" s="112">
        <f t="shared" si="25"/>
        <v>0</v>
      </c>
      <c r="E68" s="112">
        <f t="shared" si="25"/>
        <v>3897100000</v>
      </c>
      <c r="F68" s="112">
        <f t="shared" si="25"/>
        <v>12160370000</v>
      </c>
      <c r="G68" s="112">
        <f t="shared" si="25"/>
        <v>6393370000</v>
      </c>
      <c r="H68" s="112">
        <f t="shared" si="25"/>
        <v>1200000000</v>
      </c>
      <c r="I68" s="112">
        <f t="shared" si="25"/>
        <v>2000000000</v>
      </c>
      <c r="J68" s="112">
        <f t="shared" si="25"/>
        <v>100000000</v>
      </c>
      <c r="K68" s="112">
        <f t="shared" si="25"/>
        <v>0</v>
      </c>
      <c r="L68" s="112">
        <f t="shared" si="25"/>
        <v>600000000</v>
      </c>
      <c r="M68" s="112">
        <f t="shared" si="25"/>
        <v>0</v>
      </c>
      <c r="N68" s="112">
        <f t="shared" si="25"/>
        <v>0</v>
      </c>
      <c r="O68" s="112">
        <f t="shared" si="25"/>
        <v>1867000000</v>
      </c>
      <c r="P68" s="112">
        <f t="shared" si="25"/>
        <v>0</v>
      </c>
      <c r="Q68" s="112">
        <f t="shared" si="25"/>
        <v>0</v>
      </c>
      <c r="R68" s="112">
        <f t="shared" si="25"/>
        <v>2007377000</v>
      </c>
      <c r="S68" s="112">
        <f t="shared" si="25"/>
        <v>4983000000</v>
      </c>
    </row>
    <row r="69" spans="1:19" s="41" customFormat="1" ht="27" customHeight="1" x14ac:dyDescent="0.25">
      <c r="A69" s="43"/>
      <c r="B69" s="44" t="s">
        <v>357</v>
      </c>
      <c r="C69" s="42">
        <f t="shared" ref="C69:C91" si="26">D69+E69+F69+P69+Q69+R69+S69</f>
        <v>1787377000</v>
      </c>
      <c r="D69" s="42"/>
      <c r="E69" s="42"/>
      <c r="F69" s="42">
        <f t="shared" si="14"/>
        <v>0</v>
      </c>
      <c r="G69" s="42"/>
      <c r="H69" s="42"/>
      <c r="I69" s="42"/>
      <c r="J69" s="42"/>
      <c r="K69" s="42"/>
      <c r="L69" s="42"/>
      <c r="M69" s="42"/>
      <c r="N69" s="42"/>
      <c r="O69" s="42"/>
      <c r="P69" s="42"/>
      <c r="Q69" s="42"/>
      <c r="R69" s="42">
        <f>'PHƯƠNG AN 2024'!C717</f>
        <v>1787377000</v>
      </c>
      <c r="S69" s="42"/>
    </row>
    <row r="70" spans="1:19" s="41" customFormat="1" ht="34.15" customHeight="1" x14ac:dyDescent="0.25">
      <c r="A70" s="43"/>
      <c r="B70" s="3" t="s">
        <v>607</v>
      </c>
      <c r="C70" s="42">
        <f t="shared" si="26"/>
        <v>200000000</v>
      </c>
      <c r="D70" s="42"/>
      <c r="E70" s="42"/>
      <c r="F70" s="42"/>
      <c r="G70" s="42"/>
      <c r="H70" s="42"/>
      <c r="I70" s="42"/>
      <c r="J70" s="42"/>
      <c r="K70" s="42"/>
      <c r="L70" s="42"/>
      <c r="M70" s="42"/>
      <c r="N70" s="42"/>
      <c r="O70" s="42"/>
      <c r="P70" s="42"/>
      <c r="Q70" s="42"/>
      <c r="R70" s="42">
        <v>200000000</v>
      </c>
      <c r="S70" s="42"/>
    </row>
    <row r="71" spans="1:19" s="37" customFormat="1" ht="38.25" customHeight="1" x14ac:dyDescent="0.25">
      <c r="A71" s="43"/>
      <c r="B71" s="44" t="s">
        <v>600</v>
      </c>
      <c r="C71" s="42">
        <f>D71+E71+F71+P71+Q71+R71+S71</f>
        <v>400000000</v>
      </c>
      <c r="D71" s="42"/>
      <c r="E71" s="42"/>
      <c r="F71" s="42">
        <f>SUM(G71:O71)</f>
        <v>400000000</v>
      </c>
      <c r="G71" s="42">
        <f>'PHƯƠNG AN 2024'!C327</f>
        <v>400000000</v>
      </c>
      <c r="H71" s="42"/>
      <c r="I71" s="42"/>
      <c r="J71" s="42"/>
      <c r="K71" s="42"/>
      <c r="L71" s="42"/>
      <c r="M71" s="42"/>
      <c r="N71" s="42"/>
      <c r="O71" s="42"/>
      <c r="P71" s="42"/>
      <c r="Q71" s="42"/>
      <c r="R71" s="42"/>
      <c r="S71" s="42"/>
    </row>
    <row r="72" spans="1:19" s="37" customFormat="1" ht="49.5" customHeight="1" x14ac:dyDescent="0.25">
      <c r="A72" s="43"/>
      <c r="B72" s="44" t="s">
        <v>601</v>
      </c>
      <c r="C72" s="42">
        <f t="shared" ref="C72:C74" si="27">D72+E72+F72+P72+Q72+R72+S72</f>
        <v>200000000</v>
      </c>
      <c r="D72" s="42"/>
      <c r="E72" s="42"/>
      <c r="F72" s="42">
        <f t="shared" ref="F72:F74" si="28">SUM(G72:O72)</f>
        <v>200000000</v>
      </c>
      <c r="G72" s="42"/>
      <c r="H72" s="42">
        <f>'PHƯƠNG AN 2024'!C328</f>
        <v>200000000</v>
      </c>
      <c r="I72" s="42"/>
      <c r="J72" s="42"/>
      <c r="K72" s="42"/>
      <c r="L72" s="42"/>
      <c r="M72" s="42"/>
      <c r="N72" s="42"/>
      <c r="O72" s="42"/>
      <c r="P72" s="42"/>
      <c r="Q72" s="42"/>
      <c r="R72" s="42"/>
      <c r="S72" s="42"/>
    </row>
    <row r="73" spans="1:19" s="37" customFormat="1" ht="38.1" customHeight="1" x14ac:dyDescent="0.25">
      <c r="A73" s="43"/>
      <c r="B73" s="44" t="s">
        <v>602</v>
      </c>
      <c r="C73" s="42">
        <f t="shared" si="27"/>
        <v>1000000000</v>
      </c>
      <c r="D73" s="42"/>
      <c r="E73" s="42"/>
      <c r="F73" s="42">
        <f t="shared" si="28"/>
        <v>1000000000</v>
      </c>
      <c r="G73" s="42"/>
      <c r="H73" s="42">
        <f>'PHƯƠNG AN 2024'!C329</f>
        <v>1000000000</v>
      </c>
      <c r="I73" s="42"/>
      <c r="J73" s="42"/>
      <c r="K73" s="42"/>
      <c r="L73" s="42"/>
      <c r="M73" s="42"/>
      <c r="N73" s="42"/>
      <c r="O73" s="42"/>
      <c r="P73" s="42"/>
      <c r="Q73" s="42"/>
      <c r="R73" s="42"/>
      <c r="S73" s="42"/>
    </row>
    <row r="74" spans="1:19" s="37" customFormat="1" ht="51" x14ac:dyDescent="0.25">
      <c r="A74" s="43"/>
      <c r="B74" s="44" t="s">
        <v>603</v>
      </c>
      <c r="C74" s="42">
        <f t="shared" si="27"/>
        <v>4000000000</v>
      </c>
      <c r="D74" s="42"/>
      <c r="E74" s="42"/>
      <c r="F74" s="42">
        <f t="shared" si="28"/>
        <v>4000000000</v>
      </c>
      <c r="G74" s="42">
        <f>'PHƯƠNG AN 2024'!C330</f>
        <v>4000000000</v>
      </c>
      <c r="H74" s="42"/>
      <c r="I74" s="42"/>
      <c r="J74" s="42"/>
      <c r="K74" s="42"/>
      <c r="L74" s="42"/>
      <c r="M74" s="42"/>
      <c r="N74" s="42"/>
      <c r="O74" s="42"/>
      <c r="P74" s="42"/>
      <c r="Q74" s="42"/>
      <c r="R74" s="42"/>
      <c r="S74" s="42"/>
    </row>
    <row r="75" spans="1:19" s="41" customFormat="1" ht="29.1" customHeight="1" x14ac:dyDescent="0.25">
      <c r="A75" s="43"/>
      <c r="B75" s="44" t="s">
        <v>322</v>
      </c>
      <c r="C75" s="42">
        <f t="shared" si="26"/>
        <v>100000000</v>
      </c>
      <c r="D75" s="42"/>
      <c r="E75" s="42"/>
      <c r="F75" s="42">
        <f t="shared" si="14"/>
        <v>100000000</v>
      </c>
      <c r="G75" s="42"/>
      <c r="H75" s="42"/>
      <c r="I75" s="42"/>
      <c r="J75" s="42">
        <f>'PHƯƠNG AN 2024'!C711</f>
        <v>100000000</v>
      </c>
      <c r="K75" s="42"/>
      <c r="L75" s="42"/>
      <c r="M75" s="42"/>
      <c r="N75" s="42"/>
      <c r="O75" s="42"/>
      <c r="P75" s="42"/>
      <c r="Q75" s="42"/>
      <c r="R75" s="42"/>
      <c r="S75" s="42"/>
    </row>
    <row r="76" spans="1:19" s="41" customFormat="1" ht="27" customHeight="1" x14ac:dyDescent="0.25">
      <c r="A76" s="43"/>
      <c r="B76" s="44" t="s">
        <v>539</v>
      </c>
      <c r="C76" s="42">
        <f t="shared" si="26"/>
        <v>381000000</v>
      </c>
      <c r="D76" s="42"/>
      <c r="E76" s="42">
        <f>'PHƯƠNG AN 2024'!C732</f>
        <v>381000000</v>
      </c>
      <c r="F76" s="42"/>
      <c r="G76" s="42"/>
      <c r="H76" s="42"/>
      <c r="I76" s="42"/>
      <c r="J76" s="42"/>
      <c r="K76" s="42"/>
      <c r="L76" s="42"/>
      <c r="M76" s="42"/>
      <c r="N76" s="42"/>
      <c r="O76" s="42"/>
      <c r="P76" s="42"/>
      <c r="Q76" s="42"/>
      <c r="R76" s="42"/>
      <c r="S76" s="42"/>
    </row>
    <row r="77" spans="1:19" s="41" customFormat="1" ht="27" customHeight="1" x14ac:dyDescent="0.25">
      <c r="A77" s="43"/>
      <c r="B77" s="44" t="s">
        <v>415</v>
      </c>
      <c r="C77" s="42">
        <f t="shared" si="26"/>
        <v>4983000000</v>
      </c>
      <c r="D77" s="42"/>
      <c r="E77" s="42"/>
      <c r="F77" s="42">
        <f t="shared" si="14"/>
        <v>0</v>
      </c>
      <c r="G77" s="42"/>
      <c r="H77" s="42"/>
      <c r="I77" s="42"/>
      <c r="J77" s="42"/>
      <c r="K77" s="42"/>
      <c r="L77" s="42"/>
      <c r="M77" s="42"/>
      <c r="N77" s="42"/>
      <c r="O77" s="42"/>
      <c r="P77" s="42"/>
      <c r="Q77" s="42"/>
      <c r="R77" s="42"/>
      <c r="S77" s="42">
        <f>'PHƯƠNG AN 2024'!C733</f>
        <v>4983000000</v>
      </c>
    </row>
    <row r="78" spans="1:19" s="41" customFormat="1" ht="27" customHeight="1" x14ac:dyDescent="0.25">
      <c r="A78" s="43"/>
      <c r="B78" s="44" t="s">
        <v>531</v>
      </c>
      <c r="C78" s="42">
        <f t="shared" si="26"/>
        <v>100000000</v>
      </c>
      <c r="D78" s="42"/>
      <c r="E78" s="42"/>
      <c r="F78" s="42">
        <f t="shared" si="14"/>
        <v>100000000</v>
      </c>
      <c r="G78" s="42">
        <v>100000000</v>
      </c>
      <c r="H78" s="42"/>
      <c r="I78" s="42"/>
      <c r="J78" s="42"/>
      <c r="K78" s="42"/>
      <c r="L78" s="42"/>
      <c r="M78" s="42"/>
      <c r="N78" s="42"/>
      <c r="O78" s="42"/>
      <c r="P78" s="42"/>
      <c r="Q78" s="42"/>
      <c r="R78" s="42"/>
      <c r="S78" s="42"/>
    </row>
    <row r="79" spans="1:19" s="41" customFormat="1" ht="27" customHeight="1" x14ac:dyDescent="0.25">
      <c r="A79" s="43"/>
      <c r="B79" s="44" t="s">
        <v>532</v>
      </c>
      <c r="C79" s="42">
        <f t="shared" si="26"/>
        <v>2000000000</v>
      </c>
      <c r="D79" s="42"/>
      <c r="E79" s="42"/>
      <c r="F79" s="42">
        <f t="shared" si="14"/>
        <v>2000000000</v>
      </c>
      <c r="G79" s="42"/>
      <c r="H79" s="42"/>
      <c r="I79" s="42">
        <f>'PHƯƠNG AN 2024'!C701</f>
        <v>2000000000</v>
      </c>
      <c r="J79" s="42"/>
      <c r="K79" s="42"/>
      <c r="L79" s="42"/>
      <c r="M79" s="42"/>
      <c r="N79" s="42"/>
      <c r="O79" s="42"/>
      <c r="P79" s="42"/>
      <c r="Q79" s="42"/>
      <c r="R79" s="42"/>
      <c r="S79" s="42"/>
    </row>
    <row r="80" spans="1:19" s="41" customFormat="1" ht="27" customHeight="1" x14ac:dyDescent="0.25">
      <c r="A80" s="43"/>
      <c r="B80" s="44" t="s">
        <v>533</v>
      </c>
      <c r="C80" s="42">
        <f t="shared" si="26"/>
        <v>100000000</v>
      </c>
      <c r="D80" s="42"/>
      <c r="E80" s="42"/>
      <c r="F80" s="42">
        <f t="shared" si="14"/>
        <v>100000000</v>
      </c>
      <c r="G80" s="42"/>
      <c r="H80" s="42"/>
      <c r="I80" s="42"/>
      <c r="J80" s="42"/>
      <c r="K80" s="42"/>
      <c r="L80" s="42">
        <f>'PHƯƠNG AN 2024'!C165</f>
        <v>100000000</v>
      </c>
      <c r="M80" s="42"/>
      <c r="N80" s="42"/>
      <c r="O80" s="42"/>
      <c r="P80" s="42"/>
      <c r="Q80" s="42"/>
      <c r="R80" s="42"/>
      <c r="S80" s="42"/>
    </row>
    <row r="81" spans="1:19" s="41" customFormat="1" ht="27" customHeight="1" x14ac:dyDescent="0.25">
      <c r="A81" s="43"/>
      <c r="B81" s="3" t="s">
        <v>351</v>
      </c>
      <c r="C81" s="42">
        <f t="shared" si="26"/>
        <v>100000000</v>
      </c>
      <c r="D81" s="42"/>
      <c r="E81" s="42">
        <f>'PHƯƠNG AN 2024'!C719</f>
        <v>100000000</v>
      </c>
      <c r="F81" s="42">
        <f t="shared" si="14"/>
        <v>0</v>
      </c>
      <c r="G81" s="42"/>
      <c r="H81" s="42"/>
      <c r="I81" s="42"/>
      <c r="J81" s="42"/>
      <c r="K81" s="42"/>
      <c r="L81" s="42"/>
      <c r="M81" s="42"/>
      <c r="N81" s="42"/>
      <c r="O81" s="42"/>
      <c r="P81" s="42"/>
      <c r="Q81" s="42"/>
      <c r="R81" s="42"/>
      <c r="S81" s="42"/>
    </row>
    <row r="82" spans="1:19" s="41" customFormat="1" ht="49.15" customHeight="1" x14ac:dyDescent="0.25">
      <c r="A82" s="43"/>
      <c r="B82" s="3" t="s">
        <v>523</v>
      </c>
      <c r="C82" s="42">
        <f t="shared" si="26"/>
        <v>700000000</v>
      </c>
      <c r="D82" s="42"/>
      <c r="E82" s="42">
        <v>700000000</v>
      </c>
      <c r="F82" s="42">
        <f t="shared" si="14"/>
        <v>0</v>
      </c>
      <c r="G82" s="42"/>
      <c r="H82" s="42"/>
      <c r="I82" s="42"/>
      <c r="J82" s="42"/>
      <c r="K82" s="42"/>
      <c r="L82" s="42"/>
      <c r="M82" s="42"/>
      <c r="N82" s="42"/>
      <c r="O82" s="42"/>
      <c r="P82" s="42"/>
      <c r="Q82" s="42"/>
      <c r="R82" s="42"/>
      <c r="S82" s="42"/>
    </row>
    <row r="83" spans="1:19" s="41" customFormat="1" ht="33.6" customHeight="1" x14ac:dyDescent="0.25">
      <c r="A83" s="43"/>
      <c r="B83" s="3" t="s">
        <v>524</v>
      </c>
      <c r="C83" s="42">
        <f t="shared" si="26"/>
        <v>20000000</v>
      </c>
      <c r="D83" s="42"/>
      <c r="E83" s="42"/>
      <c r="F83" s="42">
        <f t="shared" si="14"/>
        <v>0</v>
      </c>
      <c r="G83" s="42"/>
      <c r="H83" s="42"/>
      <c r="I83" s="42"/>
      <c r="J83" s="42"/>
      <c r="K83" s="42"/>
      <c r="L83" s="42"/>
      <c r="M83" s="42"/>
      <c r="N83" s="42"/>
      <c r="O83" s="42"/>
      <c r="P83" s="42"/>
      <c r="Q83" s="42"/>
      <c r="R83" s="42">
        <v>20000000</v>
      </c>
      <c r="S83" s="42"/>
    </row>
    <row r="84" spans="1:19" s="41" customFormat="1" ht="34.15" customHeight="1" x14ac:dyDescent="0.25">
      <c r="A84" s="43"/>
      <c r="B84" s="118" t="s">
        <v>525</v>
      </c>
      <c r="C84" s="42">
        <f t="shared" si="26"/>
        <v>66100000</v>
      </c>
      <c r="D84" s="42"/>
      <c r="E84" s="42">
        <f>'PHƯƠNG AN 2024'!C722</f>
        <v>66100000</v>
      </c>
      <c r="F84" s="42">
        <f t="shared" si="14"/>
        <v>0</v>
      </c>
      <c r="G84" s="42"/>
      <c r="H84" s="42"/>
      <c r="I84" s="42"/>
      <c r="J84" s="42"/>
      <c r="K84" s="42"/>
      <c r="L84" s="42"/>
      <c r="M84" s="42"/>
      <c r="N84" s="42"/>
      <c r="O84" s="42"/>
      <c r="P84" s="42"/>
      <c r="Q84" s="42"/>
      <c r="R84" s="42"/>
      <c r="S84" s="42"/>
    </row>
    <row r="85" spans="1:19" s="41" customFormat="1" ht="30.6" customHeight="1" x14ac:dyDescent="0.25">
      <c r="A85" s="43"/>
      <c r="B85" s="118" t="s">
        <v>526</v>
      </c>
      <c r="C85" s="42">
        <f t="shared" si="26"/>
        <v>400000000</v>
      </c>
      <c r="D85" s="42"/>
      <c r="E85" s="42">
        <f>'PHƯƠNG AN 2024'!C723</f>
        <v>400000000</v>
      </c>
      <c r="F85" s="42">
        <f t="shared" si="14"/>
        <v>0</v>
      </c>
      <c r="G85" s="42"/>
      <c r="H85" s="42"/>
      <c r="I85" s="42"/>
      <c r="J85" s="42"/>
      <c r="K85" s="42"/>
      <c r="L85" s="42"/>
      <c r="M85" s="42"/>
      <c r="N85" s="42"/>
      <c r="O85" s="42"/>
      <c r="P85" s="42"/>
      <c r="Q85" s="42"/>
      <c r="R85" s="42"/>
      <c r="S85" s="42"/>
    </row>
    <row r="86" spans="1:19" s="41" customFormat="1" ht="32.65" customHeight="1" x14ac:dyDescent="0.25">
      <c r="A86" s="43"/>
      <c r="B86" s="118" t="s">
        <v>527</v>
      </c>
      <c r="C86" s="42">
        <f t="shared" si="26"/>
        <v>2250000000</v>
      </c>
      <c r="D86" s="42"/>
      <c r="E86" s="42">
        <f>'PHƯƠNG AN 2024'!C724</f>
        <v>2250000000</v>
      </c>
      <c r="F86" s="42">
        <f t="shared" ref="F86:F101" si="29">SUM(G86:O86)</f>
        <v>0</v>
      </c>
      <c r="G86" s="42"/>
      <c r="H86" s="42"/>
      <c r="I86" s="42"/>
      <c r="J86" s="42"/>
      <c r="K86" s="42"/>
      <c r="L86" s="42"/>
      <c r="M86" s="42"/>
      <c r="N86" s="42"/>
      <c r="O86" s="42"/>
      <c r="P86" s="42"/>
      <c r="Q86" s="42"/>
      <c r="R86" s="42"/>
      <c r="S86" s="42"/>
    </row>
    <row r="87" spans="1:19" s="41" customFormat="1" ht="33.6" customHeight="1" x14ac:dyDescent="0.25">
      <c r="A87" s="43"/>
      <c r="B87" s="118" t="s">
        <v>528</v>
      </c>
      <c r="C87" s="42">
        <f t="shared" si="26"/>
        <v>500000000</v>
      </c>
      <c r="D87" s="42"/>
      <c r="E87" s="42"/>
      <c r="F87" s="42">
        <f t="shared" si="29"/>
        <v>500000000</v>
      </c>
      <c r="G87" s="42"/>
      <c r="H87" s="42"/>
      <c r="I87" s="42"/>
      <c r="J87" s="42"/>
      <c r="K87" s="42"/>
      <c r="L87" s="42">
        <f>'PHƯƠNG AN 2024'!C725</f>
        <v>500000000</v>
      </c>
      <c r="M87" s="42"/>
      <c r="N87" s="42"/>
      <c r="O87" s="42"/>
      <c r="P87" s="42"/>
      <c r="Q87" s="42"/>
      <c r="R87" s="42"/>
      <c r="S87" s="42"/>
    </row>
    <row r="88" spans="1:19" s="37" customFormat="1" ht="35.1" customHeight="1" x14ac:dyDescent="0.25">
      <c r="A88" s="43"/>
      <c r="B88" s="118" t="s">
        <v>321</v>
      </c>
      <c r="C88" s="42">
        <f t="shared" si="26"/>
        <v>1575000000</v>
      </c>
      <c r="D88" s="42"/>
      <c r="E88" s="42"/>
      <c r="F88" s="42">
        <f t="shared" si="29"/>
        <v>1575000000</v>
      </c>
      <c r="G88" s="42"/>
      <c r="H88" s="42"/>
      <c r="I88" s="42"/>
      <c r="J88" s="42"/>
      <c r="K88" s="42"/>
      <c r="L88" s="42"/>
      <c r="M88" s="42"/>
      <c r="N88" s="42"/>
      <c r="O88" s="42">
        <f>'PHƯƠNG AN 2024'!C713</f>
        <v>1575000000</v>
      </c>
      <c r="P88" s="42"/>
      <c r="Q88" s="42"/>
      <c r="R88" s="42"/>
      <c r="S88" s="42"/>
    </row>
    <row r="89" spans="1:19" s="37" customFormat="1" ht="35.1" customHeight="1" x14ac:dyDescent="0.25">
      <c r="A89" s="43"/>
      <c r="B89" s="118" t="s">
        <v>534</v>
      </c>
      <c r="C89" s="42">
        <f t="shared" si="26"/>
        <v>292000000</v>
      </c>
      <c r="D89" s="42"/>
      <c r="E89" s="42"/>
      <c r="F89" s="42">
        <f t="shared" si="29"/>
        <v>292000000</v>
      </c>
      <c r="G89" s="42"/>
      <c r="H89" s="42"/>
      <c r="I89" s="42"/>
      <c r="J89" s="42"/>
      <c r="K89" s="42"/>
      <c r="L89" s="42"/>
      <c r="M89" s="42"/>
      <c r="N89" s="42"/>
      <c r="O89" s="42">
        <v>292000000</v>
      </c>
      <c r="P89" s="42"/>
      <c r="Q89" s="42"/>
      <c r="R89" s="42"/>
      <c r="S89" s="42"/>
    </row>
    <row r="90" spans="1:19" s="37" customFormat="1" ht="46.15" customHeight="1" x14ac:dyDescent="0.25">
      <c r="A90" s="43"/>
      <c r="B90" s="118" t="s">
        <v>529</v>
      </c>
      <c r="C90" s="42">
        <f t="shared" si="26"/>
        <v>737370000</v>
      </c>
      <c r="D90" s="42"/>
      <c r="E90" s="42"/>
      <c r="F90" s="42">
        <f t="shared" si="29"/>
        <v>737370000</v>
      </c>
      <c r="G90" s="42">
        <v>737370000</v>
      </c>
      <c r="H90" s="42"/>
      <c r="I90" s="42"/>
      <c r="J90" s="42"/>
      <c r="K90" s="42"/>
      <c r="L90" s="42"/>
      <c r="M90" s="42"/>
      <c r="N90" s="42"/>
      <c r="O90" s="42"/>
      <c r="P90" s="42"/>
      <c r="Q90" s="42"/>
      <c r="R90" s="42"/>
      <c r="S90" s="42"/>
    </row>
    <row r="91" spans="1:19" s="41" customFormat="1" ht="24.6" customHeight="1" x14ac:dyDescent="0.25">
      <c r="A91" s="43"/>
      <c r="B91" s="118" t="s">
        <v>530</v>
      </c>
      <c r="C91" s="42">
        <f t="shared" si="26"/>
        <v>1156000000</v>
      </c>
      <c r="D91" s="42"/>
      <c r="E91" s="42"/>
      <c r="F91" s="42">
        <f t="shared" si="29"/>
        <v>1156000000</v>
      </c>
      <c r="G91" s="42">
        <v>1156000000</v>
      </c>
      <c r="H91" s="42"/>
      <c r="I91" s="42"/>
      <c r="J91" s="42"/>
      <c r="K91" s="42"/>
      <c r="L91" s="42"/>
      <c r="M91" s="42"/>
      <c r="N91" s="42"/>
      <c r="O91" s="42"/>
      <c r="P91" s="42"/>
      <c r="Q91" s="42"/>
      <c r="R91" s="42"/>
      <c r="S91" s="42"/>
    </row>
    <row r="92" spans="1:19" s="41" customFormat="1" ht="23.1" customHeight="1" x14ac:dyDescent="0.25">
      <c r="A92" s="180" t="s">
        <v>150</v>
      </c>
      <c r="B92" s="48" t="s">
        <v>323</v>
      </c>
      <c r="C92" s="40">
        <f>SUM(C93:C101)</f>
        <v>70126092000</v>
      </c>
      <c r="D92" s="40">
        <f t="shared" ref="D92:S92" si="30">SUM(D93:D101)</f>
        <v>0</v>
      </c>
      <c r="E92" s="40">
        <f t="shared" si="30"/>
        <v>61868300000</v>
      </c>
      <c r="F92" s="40">
        <f t="shared" si="30"/>
        <v>3220143000</v>
      </c>
      <c r="G92" s="40">
        <f t="shared" si="30"/>
        <v>1866832000</v>
      </c>
      <c r="H92" s="40">
        <f t="shared" si="30"/>
        <v>269712000</v>
      </c>
      <c r="I92" s="40">
        <f t="shared" si="30"/>
        <v>0</v>
      </c>
      <c r="J92" s="40">
        <f t="shared" si="30"/>
        <v>0</v>
      </c>
      <c r="K92" s="40">
        <f t="shared" si="30"/>
        <v>0</v>
      </c>
      <c r="L92" s="40">
        <f t="shared" si="30"/>
        <v>163345000</v>
      </c>
      <c r="M92" s="40">
        <f t="shared" si="30"/>
        <v>615206000</v>
      </c>
      <c r="N92" s="40">
        <f t="shared" si="30"/>
        <v>137889000</v>
      </c>
      <c r="O92" s="40">
        <f t="shared" si="30"/>
        <v>167159000</v>
      </c>
      <c r="P92" s="40">
        <f t="shared" si="30"/>
        <v>2250254000</v>
      </c>
      <c r="Q92" s="40">
        <f t="shared" si="30"/>
        <v>1077013000</v>
      </c>
      <c r="R92" s="40">
        <f t="shared" si="30"/>
        <v>342073000</v>
      </c>
      <c r="S92" s="40">
        <f t="shared" si="30"/>
        <v>1368309000</v>
      </c>
    </row>
    <row r="93" spans="1:19" s="37" customFormat="1" ht="23.1" customHeight="1" x14ac:dyDescent="0.25">
      <c r="A93" s="39">
        <v>1</v>
      </c>
      <c r="B93" s="44" t="s">
        <v>329</v>
      </c>
      <c r="C93" s="42">
        <f>E93+F93+P93+Q93+R93+S93</f>
        <v>7215314000</v>
      </c>
      <c r="D93" s="42"/>
      <c r="E93" s="42">
        <f>'[2]SON LAP'!$F$9</f>
        <v>6487922000</v>
      </c>
      <c r="F93" s="42">
        <f>SUM(G93:O93)</f>
        <v>222519000</v>
      </c>
      <c r="G93" s="42">
        <f>'[2]SON LAP'!$F$77</f>
        <v>114576000</v>
      </c>
      <c r="H93" s="117">
        <f>'[2]SON LAP'!$F$84</f>
        <v>40416000</v>
      </c>
      <c r="I93" s="42"/>
      <c r="J93" s="42"/>
      <c r="K93" s="42"/>
      <c r="L93" s="42">
        <f>'[3]SON LAP'!$F$42</f>
        <v>10025000</v>
      </c>
      <c r="M93" s="117">
        <f>'[3]SON LAP'!$F$36</f>
        <v>37758000</v>
      </c>
      <c r="N93" s="117">
        <f>'[3]SON LAP'!$F$30</f>
        <v>8463000</v>
      </c>
      <c r="O93" s="42">
        <f>'[3]SON LAP'!$F$48</f>
        <v>11281000</v>
      </c>
      <c r="P93" s="42">
        <f>'[3]SON LAP'!$F$68</f>
        <v>188342000</v>
      </c>
      <c r="Q93" s="42">
        <f>'[3]SON LAP'!$F$60</f>
        <v>140549000</v>
      </c>
      <c r="R93" s="42">
        <f>'[3]SON LAP'!$F$91</f>
        <v>35196000</v>
      </c>
      <c r="S93" s="42">
        <f>'[3]SON LAP'!$F$93</f>
        <v>140786000</v>
      </c>
    </row>
    <row r="94" spans="1:19" s="37" customFormat="1" ht="23.1" customHeight="1" x14ac:dyDescent="0.25">
      <c r="A94" s="39">
        <v>2</v>
      </c>
      <c r="B94" s="44" t="s">
        <v>328</v>
      </c>
      <c r="C94" s="42">
        <f>E94+F94+P94+Q94+R94+S94</f>
        <v>7999471000</v>
      </c>
      <c r="D94" s="42"/>
      <c r="E94" s="42">
        <f>'[2]SON TINH'!$F$9</f>
        <v>6975375000</v>
      </c>
      <c r="F94" s="42">
        <f>SUM(G94:O94)</f>
        <v>370007000</v>
      </c>
      <c r="G94" s="42">
        <f>'[2]SON TINH'!$F$77</f>
        <v>196504000</v>
      </c>
      <c r="H94" s="117">
        <f>'[2]SON TINH'!$F$84</f>
        <v>57864000</v>
      </c>
      <c r="I94" s="42"/>
      <c r="J94" s="42"/>
      <c r="K94" s="42"/>
      <c r="L94" s="42">
        <f>'[3]SON TINH'!$F$42</f>
        <v>17194000</v>
      </c>
      <c r="M94" s="117">
        <f>'[3]SON TINH'!$F$36</f>
        <v>64757000</v>
      </c>
      <c r="N94" s="117">
        <f>'[3]SON TINH'!$F$30</f>
        <v>14514000</v>
      </c>
      <c r="O94" s="42">
        <f>'[3]SON TINH'!$F$48</f>
        <v>19174000</v>
      </c>
      <c r="P94" s="42">
        <f>'[3]SON TINH'!$F$68</f>
        <v>311263000</v>
      </c>
      <c r="Q94" s="42">
        <f>'[3]SON TINH'!$F$60</f>
        <v>147718000</v>
      </c>
      <c r="R94" s="42">
        <f>'[3]SON TINH'!$F$91</f>
        <v>39021000</v>
      </c>
      <c r="S94" s="42">
        <f>'[3]SON TINH'!$F$93</f>
        <v>156087000</v>
      </c>
    </row>
    <row r="95" spans="1:19" s="122" customFormat="1" ht="23.1" customHeight="1" x14ac:dyDescent="0.25">
      <c r="A95" s="39">
        <v>3</v>
      </c>
      <c r="B95" s="119" t="s">
        <v>332</v>
      </c>
      <c r="C95" s="120">
        <f>E95+F95+P95+Q95+R95+S95</f>
        <v>7459224000</v>
      </c>
      <c r="D95" s="120"/>
      <c r="E95" s="120">
        <f>'[2]SON MAU'!$F$9</f>
        <v>6774813000</v>
      </c>
      <c r="F95" s="42">
        <f>SUM(G95:O95)</f>
        <v>241602000</v>
      </c>
      <c r="G95" s="120">
        <f>'[3]SON MAU'!$F$77</f>
        <v>143616000</v>
      </c>
      <c r="H95" s="121">
        <f>'[3]SON MAU'!$F$84</f>
        <v>13056000</v>
      </c>
      <c r="I95" s="120"/>
      <c r="J95" s="120"/>
      <c r="K95" s="120"/>
      <c r="L95" s="120">
        <f>'[3]SON MAU'!$F$42</f>
        <v>12566000</v>
      </c>
      <c r="M95" s="121">
        <f>'[3]SON MAU'!$F$36</f>
        <v>47328000</v>
      </c>
      <c r="N95" s="121">
        <f>'[3]SON MAU'!$F$30</f>
        <v>10608000</v>
      </c>
      <c r="O95" s="120">
        <f>'[3]SON MAU'!$F$48</f>
        <v>14428000</v>
      </c>
      <c r="P95" s="120">
        <f>'[3]SON MAU'!$F$68</f>
        <v>248312000</v>
      </c>
      <c r="Q95" s="120">
        <f>'[3]SON MAU'!$F$60</f>
        <v>12566000</v>
      </c>
      <c r="R95" s="120">
        <f>'[2]SON MAU'!$F$90</f>
        <v>36386000</v>
      </c>
      <c r="S95" s="120">
        <f>'[2]SON MAU'!$F$92</f>
        <v>145545000</v>
      </c>
    </row>
    <row r="96" spans="1:19" s="37" customFormat="1" ht="23.1" customHeight="1" x14ac:dyDescent="0.25">
      <c r="A96" s="39">
        <v>4</v>
      </c>
      <c r="B96" s="44" t="s">
        <v>327</v>
      </c>
      <c r="C96" s="42">
        <f>E96+F96+P96+Q96+R96+S96</f>
        <v>8294516000</v>
      </c>
      <c r="D96" s="42"/>
      <c r="E96" s="42">
        <f>'[2]SON TAN'!$F$9</f>
        <v>7207281000</v>
      </c>
      <c r="F96" s="42">
        <f>SUM(G96:O96)</f>
        <v>464767000</v>
      </c>
      <c r="G96" s="42">
        <f>'[3]SON TAN'!$F$77</f>
        <v>278960000</v>
      </c>
      <c r="H96" s="117">
        <f>'[3]SON TAN'!$F$84</f>
        <v>25360000</v>
      </c>
      <c r="I96" s="42"/>
      <c r="J96" s="42"/>
      <c r="K96" s="42"/>
      <c r="L96" s="42">
        <f>'[3]SON TAN'!$F$42</f>
        <v>24409000</v>
      </c>
      <c r="M96" s="117">
        <f>'[3]SON TAN'!$F$36</f>
        <v>91930000</v>
      </c>
      <c r="N96" s="117">
        <f>'[3]SON TAN'!$F$30</f>
        <v>20605000</v>
      </c>
      <c r="O96" s="42">
        <f>'[3]SON TAN'!$F$48</f>
        <v>23503000</v>
      </c>
      <c r="P96" s="42">
        <f>'[3]SON TAN'!$F$68</f>
        <v>265230000</v>
      </c>
      <c r="Q96" s="42">
        <f>'[3]SON TAN'!$F$60</f>
        <v>154933000</v>
      </c>
      <c r="R96" s="42">
        <f>'[2]SON TAN'!$F$90</f>
        <v>40461000</v>
      </c>
      <c r="S96" s="42">
        <f>'[2]SON TAN'!$F$92</f>
        <v>161844000</v>
      </c>
    </row>
    <row r="97" spans="1:19" s="37" customFormat="1" ht="23.1" customHeight="1" x14ac:dyDescent="0.25">
      <c r="A97" s="39">
        <v>5</v>
      </c>
      <c r="B97" s="44" t="s">
        <v>324</v>
      </c>
      <c r="C97" s="42">
        <f t="shared" ref="C97:C99" si="31">E97+F97+P97+Q97+R97+S97</f>
        <v>8475305000</v>
      </c>
      <c r="D97" s="42"/>
      <c r="E97" s="42">
        <f>'[3]SON DUNG '!$F$9</f>
        <v>7148892000</v>
      </c>
      <c r="F97" s="42">
        <f t="shared" si="29"/>
        <v>622964000</v>
      </c>
      <c r="G97" s="42">
        <f>'[3]SON DUNG '!$F$77</f>
        <v>374176000</v>
      </c>
      <c r="H97" s="117">
        <f>'[3]SON DUNG '!$F$84</f>
        <v>34016000</v>
      </c>
      <c r="I97" s="42"/>
      <c r="J97" s="42"/>
      <c r="K97" s="42"/>
      <c r="L97" s="42">
        <f>'[3]SON DUNG '!$F$42</f>
        <v>32740000</v>
      </c>
      <c r="M97" s="117">
        <f>'[3]SON DUNG '!$F$36</f>
        <v>123308000</v>
      </c>
      <c r="N97" s="117">
        <f>'[3]SON DUNG '!$F$30</f>
        <v>27638000</v>
      </c>
      <c r="O97" s="42">
        <f>'[3]SON DUNG '!$F$48</f>
        <v>31086000</v>
      </c>
      <c r="P97" s="42">
        <f>'[3]SON DUNG '!$F$68</f>
        <v>333472000</v>
      </c>
      <c r="Q97" s="42">
        <f>'[3]SON DUNG '!$F$60</f>
        <v>163264000</v>
      </c>
      <c r="R97" s="42">
        <f>'[3]SON DUNG '!$F$90</f>
        <v>41342000</v>
      </c>
      <c r="S97" s="42">
        <f>'[3]SON DUNG '!$F$92</f>
        <v>165371000</v>
      </c>
    </row>
    <row r="98" spans="1:19" s="37" customFormat="1" ht="23.1" customHeight="1" x14ac:dyDescent="0.25">
      <c r="A98" s="39">
        <v>6</v>
      </c>
      <c r="B98" s="44" t="s">
        <v>330</v>
      </c>
      <c r="C98" s="42">
        <f>E98+F98+P98+Q98+R98+S98</f>
        <v>7718637000</v>
      </c>
      <c r="D98" s="42"/>
      <c r="E98" s="42">
        <f>'[3]SON LONG'!$F$9</f>
        <v>6842503000</v>
      </c>
      <c r="F98" s="42">
        <f>SUM(G98:O98)</f>
        <v>290210000</v>
      </c>
      <c r="G98" s="42">
        <f>'[3]SON LONG'!$F$77</f>
        <v>173096000</v>
      </c>
      <c r="H98" s="117">
        <f>'[3]SON LONG'!$F$84</f>
        <v>15736000</v>
      </c>
      <c r="I98" s="42"/>
      <c r="J98" s="42"/>
      <c r="K98" s="42"/>
      <c r="L98" s="42">
        <f>'[3]SON LONG'!$F$42</f>
        <v>15145000</v>
      </c>
      <c r="M98" s="117">
        <f>'[3]SON LONG'!$F$36</f>
        <v>57043000</v>
      </c>
      <c r="N98" s="117">
        <f>'[3]SON LONG'!$F$30</f>
        <v>12785000</v>
      </c>
      <c r="O98" s="42">
        <f>'[3]SON LONG'!$F$48</f>
        <v>16405000</v>
      </c>
      <c r="P98" s="42">
        <f>'[3]SON LONG'!$F$68</f>
        <v>251997000</v>
      </c>
      <c r="Q98" s="42">
        <f>'[3]SON LONG'!$F$60</f>
        <v>145669000</v>
      </c>
      <c r="R98" s="42">
        <f>'[3]SON LONG'!$F$90</f>
        <v>37651000</v>
      </c>
      <c r="S98" s="42">
        <f>'[3]SON LONG'!$F$92</f>
        <v>150607000</v>
      </c>
    </row>
    <row r="99" spans="1:19" s="122" customFormat="1" ht="23.1" customHeight="1" x14ac:dyDescent="0.25">
      <c r="A99" s="39">
        <v>7</v>
      </c>
      <c r="B99" s="119" t="s">
        <v>325</v>
      </c>
      <c r="C99" s="120">
        <f t="shared" si="31"/>
        <v>7959496000</v>
      </c>
      <c r="D99" s="120"/>
      <c r="E99" s="120">
        <f>'[2]SON MUA'!$F$9</f>
        <v>6983111000</v>
      </c>
      <c r="F99" s="42">
        <f t="shared" si="29"/>
        <v>489434000</v>
      </c>
      <c r="G99" s="120">
        <f>'[3]SON MUA'!$F$77</f>
        <v>293920000</v>
      </c>
      <c r="H99" s="121">
        <f>'[3]SON MUA'!$F$84</f>
        <v>26720000</v>
      </c>
      <c r="I99" s="120"/>
      <c r="J99" s="120"/>
      <c r="K99" s="120"/>
      <c r="L99" s="120">
        <f>'[3]SON MUA'!$F$42</f>
        <v>25718000</v>
      </c>
      <c r="M99" s="121">
        <f>'[3]SON MUA'!$F$36</f>
        <v>96860000</v>
      </c>
      <c r="N99" s="121">
        <f>'[3]SON MUA'!$F$30</f>
        <v>21710000</v>
      </c>
      <c r="O99" s="120">
        <f>'[3]SON MUA'!$F$48</f>
        <v>24506000</v>
      </c>
      <c r="P99" s="120">
        <f>'[3]SON MUA'!$F$68</f>
        <v>267100000</v>
      </c>
      <c r="Q99" s="120">
        <f>'[3]SON MUA'!$F$60</f>
        <v>25718000</v>
      </c>
      <c r="R99" s="120">
        <f>'[2]SON MUA'!$F$90</f>
        <v>38826000</v>
      </c>
      <c r="S99" s="120">
        <f>'[2]SON MUA'!$F$92</f>
        <v>155307000</v>
      </c>
    </row>
    <row r="100" spans="1:19" s="37" customFormat="1" ht="23.1" customHeight="1" x14ac:dyDescent="0.25">
      <c r="A100" s="39">
        <v>8</v>
      </c>
      <c r="B100" s="44" t="s">
        <v>331</v>
      </c>
      <c r="C100" s="42">
        <f>E100+F100+P100+Q100+R100+S100</f>
        <v>7502677000</v>
      </c>
      <c r="D100" s="42"/>
      <c r="E100" s="42">
        <f>'[2]SON LIEN'!$F$9</f>
        <v>6727817000</v>
      </c>
      <c r="F100" s="42">
        <f>SUM(G100:O100)</f>
        <v>258359000</v>
      </c>
      <c r="G100" s="42">
        <f>'[3]SON LIEN'!$F$77</f>
        <v>136312000</v>
      </c>
      <c r="H100" s="117">
        <f>'[3]SON LIEN'!$F$84</f>
        <v>42392000</v>
      </c>
      <c r="I100" s="42"/>
      <c r="J100" s="42"/>
      <c r="K100" s="42"/>
      <c r="L100" s="42">
        <f>'[3]SON LIEN'!$F$42</f>
        <v>11927000</v>
      </c>
      <c r="M100" s="117">
        <f>'[3]SON LIEN'!$F$36</f>
        <v>44921000</v>
      </c>
      <c r="N100" s="117">
        <f>'[3]SON LIEN'!$F$30</f>
        <v>10068000</v>
      </c>
      <c r="O100" s="42">
        <f>'[3]SON LIEN'!$F$48</f>
        <v>12739000</v>
      </c>
      <c r="P100" s="42">
        <f>'[3]SON LIEN'!$F$68</f>
        <v>191059000</v>
      </c>
      <c r="Q100" s="42">
        <f>'[3]SON LIEN'!$F$60</f>
        <v>142451000</v>
      </c>
      <c r="R100" s="42">
        <f>'[2]SON LIEN'!$F$91</f>
        <v>36598000</v>
      </c>
      <c r="S100" s="42">
        <f>'[2]SON LIEN'!$F$93</f>
        <v>146393000</v>
      </c>
    </row>
    <row r="101" spans="1:19" s="37" customFormat="1" ht="23.1" customHeight="1" x14ac:dyDescent="0.25">
      <c r="A101" s="39">
        <v>9</v>
      </c>
      <c r="B101" s="44" t="s">
        <v>326</v>
      </c>
      <c r="C101" s="42">
        <f>E101+F101+P101+Q101+R101+S101</f>
        <v>7501452000</v>
      </c>
      <c r="D101" s="42"/>
      <c r="E101" s="42">
        <f>'[3]SON BUA'!$F$9</f>
        <v>6720586000</v>
      </c>
      <c r="F101" s="42">
        <f t="shared" si="29"/>
        <v>260281000</v>
      </c>
      <c r="G101" s="42">
        <f>'[3]SON BUA'!$F$77</f>
        <v>155672000</v>
      </c>
      <c r="H101" s="117">
        <f>'[3]SON BUA'!$F$84</f>
        <v>14152000</v>
      </c>
      <c r="I101" s="42"/>
      <c r="J101" s="42"/>
      <c r="K101" s="42"/>
      <c r="L101" s="42">
        <f>'[3]SON BUA'!$F$42</f>
        <v>13621000</v>
      </c>
      <c r="M101" s="117">
        <f>'[3]SON BUA'!$F$36</f>
        <v>51301000</v>
      </c>
      <c r="N101" s="117">
        <f>'[3]SON BUA'!$F$30</f>
        <v>11498000</v>
      </c>
      <c r="O101" s="42">
        <f>'[3]SON BUA'!$F$48</f>
        <v>14037000</v>
      </c>
      <c r="P101" s="42">
        <f>'[3]SON BUA'!$F$68</f>
        <v>193479000</v>
      </c>
      <c r="Q101" s="42">
        <f>'[3]SON BUA'!$F$60</f>
        <v>144145000</v>
      </c>
      <c r="R101" s="42">
        <f>'[3]SON BUA'!$F$90</f>
        <v>36592000</v>
      </c>
      <c r="S101" s="42">
        <f>'[3]SON BUA'!$F$92</f>
        <v>146369000</v>
      </c>
    </row>
    <row r="103" spans="1:19" x14ac:dyDescent="0.25">
      <c r="E103" s="139"/>
    </row>
  </sheetData>
  <mergeCells count="16">
    <mergeCell ref="N4:S4"/>
    <mergeCell ref="J1:S1"/>
    <mergeCell ref="A2:S2"/>
    <mergeCell ref="A3:S3"/>
    <mergeCell ref="A5:A7"/>
    <mergeCell ref="B5:B7"/>
    <mergeCell ref="C5:C7"/>
    <mergeCell ref="D5:S5"/>
    <mergeCell ref="D6:D7"/>
    <mergeCell ref="E6:E7"/>
    <mergeCell ref="F6:F7"/>
    <mergeCell ref="G6:O6"/>
    <mergeCell ref="P6:P7"/>
    <mergeCell ref="Q6:Q7"/>
    <mergeCell ref="R6:R7"/>
    <mergeCell ref="S6:S7"/>
  </mergeCells>
  <pageMargins left="0.2" right="0" top="0.5" bottom="0.25" header="0.3" footer="0.3"/>
  <pageSetup paperSize="9" scale="6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5"/>
  <sheetViews>
    <sheetView topLeftCell="A19" workbookViewId="0">
      <selection activeCell="C28" sqref="C28"/>
    </sheetView>
  </sheetViews>
  <sheetFormatPr defaultColWidth="9.140625" defaultRowHeight="17.25" x14ac:dyDescent="0.3"/>
  <cols>
    <col min="1" max="1" width="6" style="75" customWidth="1"/>
    <col min="2" max="2" width="63.7109375" style="76" customWidth="1"/>
    <col min="3" max="3" width="21.5703125" style="76" customWidth="1"/>
    <col min="4" max="4" width="19.5703125" style="108" hidden="1" customWidth="1"/>
    <col min="5" max="5" width="12.7109375" style="76" hidden="1" customWidth="1"/>
    <col min="6" max="6" width="4.140625" style="76" customWidth="1"/>
    <col min="7" max="7" width="4.28515625" style="76" customWidth="1"/>
    <col min="8" max="16384" width="9.140625" style="76"/>
  </cols>
  <sheetData>
    <row r="1" spans="1:5" s="25" customFormat="1" ht="16.5" x14ac:dyDescent="0.25">
      <c r="A1" s="56"/>
      <c r="C1" s="57" t="s">
        <v>113</v>
      </c>
      <c r="D1" s="105"/>
    </row>
    <row r="2" spans="1:5" s="25" customFormat="1" ht="22.5" customHeight="1" x14ac:dyDescent="0.25">
      <c r="A2" s="243" t="s">
        <v>541</v>
      </c>
      <c r="B2" s="243"/>
      <c r="C2" s="243"/>
      <c r="D2" s="105"/>
    </row>
    <row r="3" spans="1:5" s="25" customFormat="1" ht="19.5" customHeight="1" x14ac:dyDescent="0.25">
      <c r="A3" s="244" t="s">
        <v>605</v>
      </c>
      <c r="B3" s="244"/>
      <c r="C3" s="244"/>
      <c r="D3" s="105"/>
    </row>
    <row r="4" spans="1:5" s="25" customFormat="1" ht="16.5" x14ac:dyDescent="0.25">
      <c r="A4" s="56"/>
      <c r="C4" s="58" t="s">
        <v>6</v>
      </c>
      <c r="D4" s="105"/>
    </row>
    <row r="5" spans="1:5" s="59" customFormat="1" ht="16.5" x14ac:dyDescent="0.25">
      <c r="A5" s="26" t="s">
        <v>198</v>
      </c>
      <c r="B5" s="26" t="s">
        <v>116</v>
      </c>
      <c r="C5" s="26" t="s">
        <v>604</v>
      </c>
      <c r="D5" s="106"/>
    </row>
    <row r="6" spans="1:5" s="25" customFormat="1" ht="16.5" x14ac:dyDescent="0.25">
      <c r="A6" s="27">
        <v>1</v>
      </c>
      <c r="B6" s="27">
        <v>2</v>
      </c>
      <c r="C6" s="27">
        <v>3</v>
      </c>
      <c r="D6" s="105"/>
    </row>
    <row r="7" spans="1:5" s="59" customFormat="1" ht="16.5" x14ac:dyDescent="0.25">
      <c r="A7" s="60" t="s">
        <v>117</v>
      </c>
      <c r="B7" s="61" t="s">
        <v>118</v>
      </c>
      <c r="C7" s="62">
        <f>C8+C9+C10+C11+C16+C17+C18+C19+C20+C22+C23+C24</f>
        <v>118720000000</v>
      </c>
      <c r="D7" s="106"/>
    </row>
    <row r="8" spans="1:5" s="25" customFormat="1" ht="16.5" x14ac:dyDescent="0.25">
      <c r="A8" s="63">
        <v>1</v>
      </c>
      <c r="B8" s="64" t="s">
        <v>119</v>
      </c>
      <c r="C8" s="65"/>
      <c r="D8" s="105"/>
    </row>
    <row r="9" spans="1:5" s="25" customFormat="1" ht="16.5" x14ac:dyDescent="0.25">
      <c r="A9" s="63">
        <v>2</v>
      </c>
      <c r="B9" s="64" t="s">
        <v>120</v>
      </c>
      <c r="C9" s="65"/>
      <c r="D9" s="105"/>
    </row>
    <row r="10" spans="1:5" s="25" customFormat="1" ht="16.5" x14ac:dyDescent="0.25">
      <c r="A10" s="63">
        <v>3</v>
      </c>
      <c r="B10" s="64" t="s">
        <v>121</v>
      </c>
      <c r="C10" s="65"/>
      <c r="D10" s="105"/>
    </row>
    <row r="11" spans="1:5" s="25" customFormat="1" ht="16.5" x14ac:dyDescent="0.25">
      <c r="A11" s="63">
        <v>4</v>
      </c>
      <c r="B11" s="64" t="s">
        <v>122</v>
      </c>
      <c r="C11" s="65">
        <v>115300000000</v>
      </c>
      <c r="D11" s="107">
        <v>115030000000</v>
      </c>
      <c r="E11" s="109">
        <f>C11/D11</f>
        <v>1.0023472137703209</v>
      </c>
    </row>
    <row r="12" spans="1:5" s="25" customFormat="1" ht="16.5" x14ac:dyDescent="0.25">
      <c r="A12" s="63"/>
      <c r="B12" s="66" t="s">
        <v>123</v>
      </c>
      <c r="C12" s="65">
        <v>58320000000</v>
      </c>
      <c r="D12" s="105">
        <v>56420000000</v>
      </c>
    </row>
    <row r="13" spans="1:5" s="25" customFormat="1" ht="16.5" x14ac:dyDescent="0.25">
      <c r="A13" s="63"/>
      <c r="B13" s="66" t="s">
        <v>124</v>
      </c>
      <c r="C13" s="65">
        <v>6380000000</v>
      </c>
      <c r="D13" s="105">
        <v>13510000000</v>
      </c>
    </row>
    <row r="14" spans="1:5" s="25" customFormat="1" ht="16.5" x14ac:dyDescent="0.25">
      <c r="A14" s="63"/>
      <c r="B14" s="66" t="s">
        <v>125</v>
      </c>
      <c r="C14" s="65"/>
      <c r="D14" s="105"/>
    </row>
    <row r="15" spans="1:5" s="25" customFormat="1" ht="16.5" x14ac:dyDescent="0.25">
      <c r="A15" s="63"/>
      <c r="B15" s="66" t="s">
        <v>126</v>
      </c>
      <c r="C15" s="65">
        <v>50600000000</v>
      </c>
      <c r="D15" s="105">
        <v>45100000000</v>
      </c>
    </row>
    <row r="16" spans="1:5" s="25" customFormat="1" ht="16.5" x14ac:dyDescent="0.25">
      <c r="A16" s="63">
        <v>5</v>
      </c>
      <c r="B16" s="64" t="s">
        <v>127</v>
      </c>
      <c r="C16" s="65">
        <v>1200000000</v>
      </c>
      <c r="D16" s="105">
        <v>750000000</v>
      </c>
      <c r="E16" s="109">
        <f>C16/D16</f>
        <v>1.6</v>
      </c>
    </row>
    <row r="17" spans="1:5" s="25" customFormat="1" ht="16.5" x14ac:dyDescent="0.25">
      <c r="A17" s="63">
        <v>6</v>
      </c>
      <c r="B17" s="64" t="s">
        <v>128</v>
      </c>
      <c r="C17" s="65"/>
      <c r="D17" s="105"/>
    </row>
    <row r="18" spans="1:5" s="25" customFormat="1" ht="16.5" x14ac:dyDescent="0.25">
      <c r="A18" s="63">
        <v>7</v>
      </c>
      <c r="B18" s="64" t="s">
        <v>129</v>
      </c>
      <c r="C18" s="65">
        <v>540000000</v>
      </c>
      <c r="D18" s="105">
        <v>550000000</v>
      </c>
      <c r="E18" s="109">
        <f>C18/D18</f>
        <v>0.98181818181818181</v>
      </c>
    </row>
    <row r="19" spans="1:5" s="25" customFormat="1" ht="16.5" x14ac:dyDescent="0.25">
      <c r="A19" s="63">
        <v>8</v>
      </c>
      <c r="B19" s="64" t="s">
        <v>130</v>
      </c>
      <c r="C19" s="65"/>
      <c r="D19" s="105"/>
    </row>
    <row r="20" spans="1:5" s="25" customFormat="1" ht="16.5" x14ac:dyDescent="0.25">
      <c r="A20" s="63">
        <v>9</v>
      </c>
      <c r="B20" s="64" t="s">
        <v>131</v>
      </c>
      <c r="C20" s="65">
        <v>430000000</v>
      </c>
      <c r="D20" s="105">
        <v>400000000</v>
      </c>
      <c r="E20" s="109">
        <f>C20/D20</f>
        <v>1.075</v>
      </c>
    </row>
    <row r="21" spans="1:5" s="25" customFormat="1" ht="16.5" x14ac:dyDescent="0.25">
      <c r="A21" s="63"/>
      <c r="B21" s="67" t="s">
        <v>340</v>
      </c>
      <c r="C21" s="68">
        <v>150000000</v>
      </c>
      <c r="D21" s="105">
        <v>70000000</v>
      </c>
    </row>
    <row r="22" spans="1:5" s="25" customFormat="1" ht="16.5" x14ac:dyDescent="0.25">
      <c r="A22" s="63">
        <v>10</v>
      </c>
      <c r="B22" s="64" t="s">
        <v>341</v>
      </c>
      <c r="C22" s="65">
        <v>200000000</v>
      </c>
      <c r="D22" s="105">
        <v>3800000000</v>
      </c>
      <c r="E22" s="109">
        <f>C22/D22</f>
        <v>5.2631578947368418E-2</v>
      </c>
    </row>
    <row r="23" spans="1:5" s="25" customFormat="1" ht="16.5" x14ac:dyDescent="0.25">
      <c r="A23" s="63">
        <v>11</v>
      </c>
      <c r="B23" s="64" t="s">
        <v>132</v>
      </c>
      <c r="C23" s="65">
        <v>50000000</v>
      </c>
      <c r="D23" s="105">
        <v>90000000</v>
      </c>
      <c r="E23" s="109">
        <f>C23/D23</f>
        <v>0.55555555555555558</v>
      </c>
    </row>
    <row r="24" spans="1:5" s="25" customFormat="1" ht="16.5" x14ac:dyDescent="0.25">
      <c r="A24" s="63">
        <v>12</v>
      </c>
      <c r="B24" s="64" t="s">
        <v>342</v>
      </c>
      <c r="C24" s="65">
        <v>1000000000</v>
      </c>
      <c r="D24" s="105">
        <v>2100000000</v>
      </c>
      <c r="E24" s="109">
        <f>C24/D24</f>
        <v>0.47619047619047616</v>
      </c>
    </row>
    <row r="25" spans="1:5" s="25" customFormat="1" ht="16.5" x14ac:dyDescent="0.25">
      <c r="A25" s="63"/>
      <c r="B25" s="67" t="s">
        <v>343</v>
      </c>
      <c r="C25" s="68">
        <v>500000000</v>
      </c>
      <c r="D25" s="105">
        <v>1000000000</v>
      </c>
    </row>
    <row r="26" spans="1:5" s="59" customFormat="1" ht="16.5" x14ac:dyDescent="0.25">
      <c r="A26" s="60" t="s">
        <v>133</v>
      </c>
      <c r="B26" s="61" t="s">
        <v>134</v>
      </c>
      <c r="C26" s="62">
        <f>C28+C31</f>
        <v>372055000000</v>
      </c>
      <c r="D26" s="106"/>
    </row>
    <row r="27" spans="1:5" s="25" customFormat="1" ht="16.5" x14ac:dyDescent="0.25">
      <c r="A27" s="63">
        <v>1</v>
      </c>
      <c r="B27" s="64" t="s">
        <v>135</v>
      </c>
      <c r="C27" s="65">
        <f>C28+C31</f>
        <v>372055000000</v>
      </c>
      <c r="D27" s="105"/>
    </row>
    <row r="28" spans="1:5" s="25" customFormat="1" ht="16.5" x14ac:dyDescent="0.25">
      <c r="A28" s="63" t="s">
        <v>136</v>
      </c>
      <c r="B28" s="64" t="s">
        <v>137</v>
      </c>
      <c r="C28" s="65">
        <f>SUM(C29:C30)</f>
        <v>130438000000</v>
      </c>
      <c r="D28" s="105"/>
    </row>
    <row r="29" spans="1:5" s="25" customFormat="1" ht="16.5" x14ac:dyDescent="0.25">
      <c r="A29" s="63"/>
      <c r="B29" s="64" t="s">
        <v>138</v>
      </c>
      <c r="C29" s="65">
        <v>69765000000</v>
      </c>
      <c r="D29" s="105"/>
    </row>
    <row r="30" spans="1:5" s="25" customFormat="1" ht="16.5" x14ac:dyDescent="0.25">
      <c r="A30" s="63"/>
      <c r="B30" s="64" t="s">
        <v>139</v>
      </c>
      <c r="C30" s="65">
        <v>60673000000</v>
      </c>
      <c r="D30" s="105"/>
    </row>
    <row r="31" spans="1:5" s="25" customFormat="1" ht="16.5" x14ac:dyDescent="0.25">
      <c r="A31" s="63" t="s">
        <v>140</v>
      </c>
      <c r="B31" s="64" t="s">
        <v>141</v>
      </c>
      <c r="C31" s="65">
        <f>SUM(C32:C34)</f>
        <v>241617000000</v>
      </c>
      <c r="D31" s="105"/>
    </row>
    <row r="32" spans="1:5" s="25" customFormat="1" ht="16.5" x14ac:dyDescent="0.25">
      <c r="A32" s="63"/>
      <c r="B32" s="66" t="s">
        <v>344</v>
      </c>
      <c r="C32" s="65">
        <f>373236000000-240433000000-1181000000</f>
        <v>131622000000</v>
      </c>
      <c r="D32" s="105"/>
    </row>
    <row r="33" spans="1:4" s="25" customFormat="1" ht="16.5" x14ac:dyDescent="0.25">
      <c r="A33" s="63"/>
      <c r="B33" s="66" t="s">
        <v>345</v>
      </c>
      <c r="C33" s="71">
        <v>19297000000</v>
      </c>
      <c r="D33" s="105"/>
    </row>
    <row r="34" spans="1:4" s="25" customFormat="1" ht="16.5" x14ac:dyDescent="0.25">
      <c r="A34" s="69"/>
      <c r="B34" s="70" t="s">
        <v>346</v>
      </c>
      <c r="C34" s="71">
        <v>90698000000</v>
      </c>
      <c r="D34" s="105"/>
    </row>
    <row r="35" spans="1:4" s="25" customFormat="1" ht="16.5" x14ac:dyDescent="0.25">
      <c r="A35" s="72">
        <v>2</v>
      </c>
      <c r="B35" s="73" t="s">
        <v>142</v>
      </c>
      <c r="C35" s="74"/>
      <c r="D35" s="105"/>
    </row>
  </sheetData>
  <mergeCells count="2">
    <mergeCell ref="A2:C2"/>
    <mergeCell ref="A3:C3"/>
  </mergeCells>
  <pageMargins left="0.7" right="0.2"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
  <sheetViews>
    <sheetView topLeftCell="A14" zoomScale="80" zoomScaleNormal="80" workbookViewId="0">
      <selection activeCell="F14" sqref="F1:M1048576"/>
    </sheetView>
  </sheetViews>
  <sheetFormatPr defaultColWidth="8.7109375" defaultRowHeight="15" x14ac:dyDescent="0.25"/>
  <cols>
    <col min="1" max="1" width="6.5703125" style="98" customWidth="1"/>
    <col min="2" max="2" width="31.140625" style="98" customWidth="1"/>
    <col min="3" max="3" width="20.140625" style="98" customWidth="1"/>
    <col min="4" max="4" width="20.28515625" style="98" customWidth="1"/>
    <col min="5" max="5" width="18.28515625" style="98" bestFit="1" customWidth="1"/>
    <col min="6" max="16384" width="8.7109375" style="98"/>
  </cols>
  <sheetData>
    <row r="1" spans="1:5" s="7" customFormat="1" ht="18.75" x14ac:dyDescent="0.3">
      <c r="E1" s="228" t="s">
        <v>143</v>
      </c>
    </row>
    <row r="2" spans="1:5" s="7" customFormat="1" ht="18.75" x14ac:dyDescent="0.3">
      <c r="A2" s="245" t="s">
        <v>542</v>
      </c>
      <c r="B2" s="245"/>
      <c r="C2" s="245"/>
      <c r="D2" s="245"/>
      <c r="E2" s="245"/>
    </row>
    <row r="3" spans="1:5" s="7" customFormat="1" ht="24" customHeight="1" x14ac:dyDescent="0.3">
      <c r="A3" s="246" t="str">
        <f>'DT THU BS 01'!A3:C3</f>
        <v>(Kèm theo Tờ trình số 79/TTr-UBND ngày 06/12/2024 của UBND huyện Sơn Tây)</v>
      </c>
      <c r="B3" s="246"/>
      <c r="C3" s="246"/>
      <c r="D3" s="246"/>
      <c r="E3" s="246"/>
    </row>
    <row r="4" spans="1:5" s="7" customFormat="1" ht="21.75" customHeight="1" x14ac:dyDescent="0.3">
      <c r="C4" s="229"/>
      <c r="E4" s="228" t="s">
        <v>114</v>
      </c>
    </row>
    <row r="5" spans="1:5" s="59" customFormat="1" ht="23.25" customHeight="1" x14ac:dyDescent="0.25">
      <c r="A5" s="247" t="s">
        <v>115</v>
      </c>
      <c r="B5" s="247" t="s">
        <v>144</v>
      </c>
      <c r="C5" s="247" t="s">
        <v>145</v>
      </c>
      <c r="D5" s="247" t="s">
        <v>146</v>
      </c>
      <c r="E5" s="247"/>
    </row>
    <row r="6" spans="1:5" s="59" customFormat="1" ht="23.25" customHeight="1" x14ac:dyDescent="0.25">
      <c r="A6" s="247"/>
      <c r="B6" s="247"/>
      <c r="C6" s="247"/>
      <c r="D6" s="26" t="s">
        <v>147</v>
      </c>
      <c r="E6" s="26" t="s">
        <v>148</v>
      </c>
    </row>
    <row r="7" spans="1:5" s="59" customFormat="1" ht="16.5" x14ac:dyDescent="0.25">
      <c r="A7" s="26" t="s">
        <v>149</v>
      </c>
      <c r="B7" s="26" t="s">
        <v>150</v>
      </c>
      <c r="C7" s="230" t="s">
        <v>151</v>
      </c>
      <c r="D7" s="26">
        <v>2</v>
      </c>
      <c r="E7" s="26">
        <v>3</v>
      </c>
    </row>
    <row r="8" spans="1:5" s="59" customFormat="1" ht="33" x14ac:dyDescent="0.25">
      <c r="A8" s="231" t="s">
        <v>117</v>
      </c>
      <c r="B8" s="232" t="s">
        <v>152</v>
      </c>
      <c r="C8" s="233">
        <f>C9+C12</f>
        <v>372055000000</v>
      </c>
      <c r="D8" s="233">
        <f>D9+D12</f>
        <v>301928908000</v>
      </c>
      <c r="E8" s="233">
        <f>E9+E12</f>
        <v>70126092000</v>
      </c>
    </row>
    <row r="9" spans="1:5" s="57" customFormat="1" ht="21.75" customHeight="1" x14ac:dyDescent="0.25">
      <c r="A9" s="234">
        <v>1</v>
      </c>
      <c r="B9" s="235" t="s">
        <v>153</v>
      </c>
      <c r="C9" s="236">
        <f t="shared" ref="C9:C26" si="0">D9+E9</f>
        <v>19265000000</v>
      </c>
      <c r="D9" s="236">
        <f>SUM(D10:D11)</f>
        <v>19265000000</v>
      </c>
      <c r="E9" s="236">
        <f>SUM(E10:E11)</f>
        <v>0</v>
      </c>
    </row>
    <row r="10" spans="1:5" s="25" customFormat="1" ht="38.65" customHeight="1" x14ac:dyDescent="0.25">
      <c r="A10" s="237" t="s">
        <v>136</v>
      </c>
      <c r="B10" s="238" t="s">
        <v>154</v>
      </c>
      <c r="C10" s="239">
        <f t="shared" si="0"/>
        <v>19065000000</v>
      </c>
      <c r="D10" s="239">
        <f>'[1]TUNG SU NGHIEP'!D13-D11</f>
        <v>19065000000</v>
      </c>
      <c r="E10" s="239"/>
    </row>
    <row r="11" spans="1:5" s="25" customFormat="1" ht="33" x14ac:dyDescent="0.25">
      <c r="A11" s="237" t="s">
        <v>140</v>
      </c>
      <c r="B11" s="238" t="s">
        <v>355</v>
      </c>
      <c r="C11" s="239">
        <f t="shared" si="0"/>
        <v>200000000</v>
      </c>
      <c r="D11" s="239">
        <v>200000000</v>
      </c>
      <c r="E11" s="239"/>
    </row>
    <row r="12" spans="1:5" s="57" customFormat="1" ht="23.25" customHeight="1" x14ac:dyDescent="0.25">
      <c r="A12" s="234">
        <v>2</v>
      </c>
      <c r="B12" s="235" t="s">
        <v>155</v>
      </c>
      <c r="C12" s="236">
        <f>D12+E12</f>
        <v>352790000000</v>
      </c>
      <c r="D12" s="236">
        <f>SUM(D13:D25)</f>
        <v>282663908000</v>
      </c>
      <c r="E12" s="236">
        <f>SUM(E13:E25)</f>
        <v>70126092000</v>
      </c>
    </row>
    <row r="13" spans="1:5" s="25" customFormat="1" ht="20.25" customHeight="1" x14ac:dyDescent="0.25">
      <c r="A13" s="237" t="s">
        <v>136</v>
      </c>
      <c r="B13" s="238" t="s">
        <v>156</v>
      </c>
      <c r="C13" s="239">
        <f t="shared" si="0"/>
        <v>203457670000</v>
      </c>
      <c r="D13" s="239">
        <f>'[1]TUNG SU NGHIEP'!I10</f>
        <v>203457670000</v>
      </c>
      <c r="E13" s="239"/>
    </row>
    <row r="14" spans="1:5" s="25" customFormat="1" ht="20.25" customHeight="1" x14ac:dyDescent="0.25">
      <c r="A14" s="237" t="s">
        <v>140</v>
      </c>
      <c r="B14" s="238" t="s">
        <v>157</v>
      </c>
      <c r="C14" s="239">
        <f t="shared" si="0"/>
        <v>830901000</v>
      </c>
      <c r="D14" s="239">
        <f>'[1]TUNG SU NGHIEP'!J10</f>
        <v>830901000</v>
      </c>
      <c r="E14" s="239"/>
    </row>
    <row r="15" spans="1:5" s="25" customFormat="1" ht="20.25" customHeight="1" x14ac:dyDescent="0.25">
      <c r="A15" s="237" t="s">
        <v>158</v>
      </c>
      <c r="B15" s="238" t="s">
        <v>159</v>
      </c>
      <c r="C15" s="239">
        <f t="shared" si="0"/>
        <v>1220962000</v>
      </c>
      <c r="D15" s="239">
        <f>'[1]TUNG SU NGHIEP'!M10</f>
        <v>605756000</v>
      </c>
      <c r="E15" s="239">
        <f>'[1]TUNG SU NGHIEP'!M11</f>
        <v>615206000</v>
      </c>
    </row>
    <row r="16" spans="1:5" s="25" customFormat="1" ht="33" x14ac:dyDescent="0.25">
      <c r="A16" s="237" t="s">
        <v>160</v>
      </c>
      <c r="B16" s="238" t="s">
        <v>161</v>
      </c>
      <c r="C16" s="239">
        <f t="shared" si="0"/>
        <v>1348579000</v>
      </c>
      <c r="D16" s="239">
        <f>'[1]TUNG SU NGHIEP'!N10</f>
        <v>1210690000</v>
      </c>
      <c r="E16" s="239">
        <f>'[1]TUNG SU NGHIEP'!N11</f>
        <v>137889000</v>
      </c>
    </row>
    <row r="17" spans="1:5" s="25" customFormat="1" ht="19.5" customHeight="1" x14ac:dyDescent="0.25">
      <c r="A17" s="237" t="s">
        <v>162</v>
      </c>
      <c r="B17" s="238" t="s">
        <v>163</v>
      </c>
      <c r="C17" s="239">
        <f t="shared" si="0"/>
        <v>1067837000</v>
      </c>
      <c r="D17" s="239">
        <f>'[1]TUNG SU NGHIEP'!L10</f>
        <v>904492000</v>
      </c>
      <c r="E17" s="239">
        <f>'[1]TUNG SU NGHIEP'!L11</f>
        <v>163345000</v>
      </c>
    </row>
    <row r="18" spans="1:5" s="25" customFormat="1" ht="19.5" customHeight="1" x14ac:dyDescent="0.25">
      <c r="A18" s="237" t="s">
        <v>164</v>
      </c>
      <c r="B18" s="238" t="s">
        <v>165</v>
      </c>
      <c r="C18" s="239">
        <f t="shared" si="0"/>
        <v>12280159000</v>
      </c>
      <c r="D18" s="239">
        <f>'[1]TUNG SU NGHIEP'!O10</f>
        <v>12113000000</v>
      </c>
      <c r="E18" s="239">
        <f>'[1]TUNG SU NGHIEP'!O11</f>
        <v>167159000</v>
      </c>
    </row>
    <row r="19" spans="1:5" s="25" customFormat="1" ht="19.5" customHeight="1" x14ac:dyDescent="0.25">
      <c r="A19" s="237" t="s">
        <v>166</v>
      </c>
      <c r="B19" s="238" t="s">
        <v>167</v>
      </c>
      <c r="C19" s="239">
        <f t="shared" si="0"/>
        <v>11771100000</v>
      </c>
      <c r="D19" s="239">
        <f>'[1]TUNG SU NGHIEP'!G10</f>
        <v>9904268000</v>
      </c>
      <c r="E19" s="239">
        <f>'[1]TUNG SU NGHIEP'!G11</f>
        <v>1866832000</v>
      </c>
    </row>
    <row r="20" spans="1:5" s="25" customFormat="1" ht="19.5" customHeight="1" x14ac:dyDescent="0.25">
      <c r="A20" s="237" t="s">
        <v>168</v>
      </c>
      <c r="B20" s="238" t="s">
        <v>169</v>
      </c>
      <c r="C20" s="239">
        <f t="shared" si="0"/>
        <v>1589712000</v>
      </c>
      <c r="D20" s="239">
        <f>'[1]TUNG SU NGHIEP'!H10</f>
        <v>1320000000</v>
      </c>
      <c r="E20" s="239">
        <f>'[1]TUNG SU NGHIEP'!H11</f>
        <v>269712000</v>
      </c>
    </row>
    <row r="21" spans="1:5" s="25" customFormat="1" ht="33" x14ac:dyDescent="0.25">
      <c r="A21" s="237" t="s">
        <v>170</v>
      </c>
      <c r="B21" s="238" t="s">
        <v>171</v>
      </c>
      <c r="C21" s="239">
        <f t="shared" si="0"/>
        <v>104197054000</v>
      </c>
      <c r="D21" s="239">
        <f>'[1]TUNG SU NGHIEP'!E10</f>
        <v>42328754000</v>
      </c>
      <c r="E21" s="239">
        <f>'[1]TUNG SU NGHIEP'!E11</f>
        <v>61868300000</v>
      </c>
    </row>
    <row r="22" spans="1:5" s="25" customFormat="1" ht="19.5" customHeight="1" x14ac:dyDescent="0.25">
      <c r="A22" s="237" t="s">
        <v>172</v>
      </c>
      <c r="B22" s="238" t="s">
        <v>173</v>
      </c>
      <c r="C22" s="239">
        <f t="shared" si="0"/>
        <v>2784254000</v>
      </c>
      <c r="D22" s="239">
        <f>'[1]TUNG SU NGHIEP'!P10</f>
        <v>534000000</v>
      </c>
      <c r="E22" s="239">
        <f>'[1]TUNG SU NGHIEP'!P11</f>
        <v>2250254000</v>
      </c>
    </row>
    <row r="23" spans="1:5" s="25" customFormat="1" ht="19.5" customHeight="1" x14ac:dyDescent="0.25">
      <c r="A23" s="237" t="s">
        <v>174</v>
      </c>
      <c r="B23" s="238" t="s">
        <v>175</v>
      </c>
      <c r="C23" s="239">
        <f>D23+E23</f>
        <v>1611013000</v>
      </c>
      <c r="D23" s="239">
        <f>'[1]TUNG SU NGHIEP'!Q10</f>
        <v>534000000</v>
      </c>
      <c r="E23" s="239">
        <f>'[1]TUNG SU NGHIEP'!Q11</f>
        <v>1077013000</v>
      </c>
    </row>
    <row r="24" spans="1:5" s="25" customFormat="1" ht="19.5" customHeight="1" x14ac:dyDescent="0.25">
      <c r="A24" s="237" t="s">
        <v>176</v>
      </c>
      <c r="B24" s="238" t="s">
        <v>177</v>
      </c>
      <c r="C24" s="239">
        <f t="shared" si="0"/>
        <v>3579450000</v>
      </c>
      <c r="D24" s="239">
        <f>'[1]TUNG SU NGHIEP'!R10</f>
        <v>3237377000</v>
      </c>
      <c r="E24" s="239">
        <f>'[1]TUNG SU NGHIEP'!R11</f>
        <v>342073000</v>
      </c>
    </row>
    <row r="25" spans="1:5" s="57" customFormat="1" ht="19.5" customHeight="1" x14ac:dyDescent="0.25">
      <c r="A25" s="234">
        <v>3</v>
      </c>
      <c r="B25" s="235" t="s">
        <v>178</v>
      </c>
      <c r="C25" s="236">
        <f t="shared" si="0"/>
        <v>7051309000</v>
      </c>
      <c r="D25" s="236">
        <f>'[1]TUNG SU NGHIEP'!S10</f>
        <v>5683000000</v>
      </c>
      <c r="E25" s="236">
        <f>'[1]TUNG SU NGHIEP'!S11</f>
        <v>1368309000</v>
      </c>
    </row>
    <row r="26" spans="1:5" s="59" customFormat="1" ht="54.75" customHeight="1" x14ac:dyDescent="0.25">
      <c r="A26" s="240" t="s">
        <v>133</v>
      </c>
      <c r="B26" s="241" t="s">
        <v>179</v>
      </c>
      <c r="C26" s="242">
        <f t="shared" si="0"/>
        <v>0</v>
      </c>
      <c r="D26" s="242"/>
      <c r="E26" s="242"/>
    </row>
  </sheetData>
  <mergeCells count="6">
    <mergeCell ref="A2:E2"/>
    <mergeCell ref="A3:E3"/>
    <mergeCell ref="A5:A6"/>
    <mergeCell ref="B5:B6"/>
    <mergeCell ref="C5:C6"/>
    <mergeCell ref="D5:E5"/>
  </mergeCells>
  <pageMargins left="0.45" right="0" top="0.5" bottom="0.2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topLeftCell="A10" workbookViewId="0">
      <selection activeCell="D7" sqref="D7"/>
    </sheetView>
  </sheetViews>
  <sheetFormatPr defaultRowHeight="15" x14ac:dyDescent="0.25"/>
  <cols>
    <col min="1" max="1" width="6.42578125" customWidth="1"/>
    <col min="2" max="2" width="21.140625" customWidth="1"/>
    <col min="3" max="3" width="19.7109375" customWidth="1"/>
    <col min="4" max="4" width="20.28515625" customWidth="1"/>
    <col min="5" max="5" width="11.5703125" customWidth="1"/>
    <col min="6" max="6" width="11" customWidth="1"/>
  </cols>
  <sheetData>
    <row r="1" spans="1:6" s="7" customFormat="1" ht="18.75" x14ac:dyDescent="0.3">
      <c r="E1" s="248" t="s">
        <v>180</v>
      </c>
      <c r="F1" s="248"/>
    </row>
    <row r="2" spans="1:6" s="7" customFormat="1" ht="18.75" x14ac:dyDescent="0.3">
      <c r="A2" s="243" t="s">
        <v>543</v>
      </c>
      <c r="B2" s="243"/>
      <c r="C2" s="243"/>
      <c r="D2" s="243"/>
      <c r="E2" s="243"/>
      <c r="F2" s="243"/>
    </row>
    <row r="3" spans="1:6" s="55" customFormat="1" ht="23.25" customHeight="1" x14ac:dyDescent="0.25">
      <c r="A3" s="249" t="str">
        <f>'DT CHI BS 02'!A3:E3</f>
        <v>(Kèm theo Tờ trình số 79/TTr-UBND ngày 06/12/2024 của UBND huyện Sơn Tây)</v>
      </c>
      <c r="B3" s="250"/>
      <c r="C3" s="250"/>
      <c r="D3" s="250"/>
      <c r="E3" s="250"/>
      <c r="F3" s="250"/>
    </row>
    <row r="4" spans="1:6" s="7" customFormat="1" ht="18.75" x14ac:dyDescent="0.3">
      <c r="E4" s="251" t="s">
        <v>114</v>
      </c>
      <c r="F4" s="251"/>
    </row>
    <row r="5" spans="1:6" s="9" customFormat="1" ht="21" customHeight="1" x14ac:dyDescent="0.3">
      <c r="A5" s="252" t="s">
        <v>115</v>
      </c>
      <c r="B5" s="252" t="s">
        <v>181</v>
      </c>
      <c r="C5" s="252" t="s">
        <v>604</v>
      </c>
      <c r="D5" s="252"/>
      <c r="E5" s="252"/>
      <c r="F5" s="252"/>
    </row>
    <row r="6" spans="1:6" s="9" customFormat="1" ht="21" customHeight="1" x14ac:dyDescent="0.3">
      <c r="A6" s="252"/>
      <c r="B6" s="252"/>
      <c r="C6" s="252" t="s">
        <v>182</v>
      </c>
      <c r="D6" s="252" t="s">
        <v>146</v>
      </c>
      <c r="E6" s="252"/>
      <c r="F6" s="252"/>
    </row>
    <row r="7" spans="1:6" s="9" customFormat="1" ht="75" x14ac:dyDescent="0.3">
      <c r="A7" s="252"/>
      <c r="B7" s="252"/>
      <c r="C7" s="252"/>
      <c r="D7" s="8" t="s">
        <v>183</v>
      </c>
      <c r="E7" s="8" t="s">
        <v>184</v>
      </c>
      <c r="F7" s="8" t="s">
        <v>185</v>
      </c>
    </row>
    <row r="8" spans="1:6" s="7" customFormat="1" ht="23.25" customHeight="1" x14ac:dyDescent="0.3">
      <c r="A8" s="79">
        <v>1</v>
      </c>
      <c r="B8" s="80" t="s">
        <v>191</v>
      </c>
      <c r="C8" s="81">
        <f t="shared" ref="C8:C16" si="0">D8</f>
        <v>2713000000</v>
      </c>
      <c r="D8" s="78">
        <f>'DT THU BS 04'!C7*1000</f>
        <v>2713000000</v>
      </c>
      <c r="E8" s="81"/>
      <c r="F8" s="81"/>
    </row>
    <row r="9" spans="1:6" s="7" customFormat="1" ht="23.25" customHeight="1" x14ac:dyDescent="0.3">
      <c r="A9" s="79">
        <v>2</v>
      </c>
      <c r="B9" s="80" t="s">
        <v>190</v>
      </c>
      <c r="C9" s="81">
        <f t="shared" si="0"/>
        <v>2746000000</v>
      </c>
      <c r="D9" s="78">
        <f>'DT THU BS 04'!C8*1000</f>
        <v>2746000000</v>
      </c>
      <c r="E9" s="81"/>
      <c r="F9" s="81"/>
    </row>
    <row r="10" spans="1:6" s="7" customFormat="1" ht="23.25" customHeight="1" x14ac:dyDescent="0.3">
      <c r="A10" s="79">
        <v>3</v>
      </c>
      <c r="B10" s="82" t="s">
        <v>194</v>
      </c>
      <c r="C10" s="83">
        <f t="shared" si="0"/>
        <v>2716000000</v>
      </c>
      <c r="D10" s="78">
        <f>'DT THU BS 04'!C9*1000</f>
        <v>2716000000</v>
      </c>
      <c r="E10" s="83"/>
      <c r="F10" s="83"/>
    </row>
    <row r="11" spans="1:6" s="7" customFormat="1" ht="23.25" customHeight="1" x14ac:dyDescent="0.3">
      <c r="A11" s="79">
        <v>4</v>
      </c>
      <c r="B11" s="80" t="s">
        <v>189</v>
      </c>
      <c r="C11" s="81">
        <f t="shared" si="0"/>
        <v>2971000000</v>
      </c>
      <c r="D11" s="78">
        <f>'DT THU BS 04'!C10*1000</f>
        <v>2971000000</v>
      </c>
      <c r="E11" s="81"/>
      <c r="F11" s="81"/>
    </row>
    <row r="12" spans="1:6" s="7" customFormat="1" ht="23.25" customHeight="1" x14ac:dyDescent="0.3">
      <c r="A12" s="79">
        <v>5</v>
      </c>
      <c r="B12" s="77" t="s">
        <v>186</v>
      </c>
      <c r="C12" s="78">
        <f t="shared" si="0"/>
        <v>3901000000</v>
      </c>
      <c r="D12" s="78">
        <f>'DT THU BS 04'!C11*1000</f>
        <v>3901000000</v>
      </c>
      <c r="E12" s="78"/>
      <c r="F12" s="78"/>
    </row>
    <row r="13" spans="1:6" s="7" customFormat="1" ht="23.25" customHeight="1" x14ac:dyDescent="0.3">
      <c r="A13" s="79">
        <v>6</v>
      </c>
      <c r="B13" s="80" t="s">
        <v>192</v>
      </c>
      <c r="C13" s="81">
        <f t="shared" si="0"/>
        <v>2812000000</v>
      </c>
      <c r="D13" s="78">
        <f>'DT THU BS 04'!C12*1000</f>
        <v>2812000000</v>
      </c>
      <c r="E13" s="81"/>
      <c r="F13" s="81"/>
    </row>
    <row r="14" spans="1:6" s="7" customFormat="1" ht="23.25" customHeight="1" x14ac:dyDescent="0.3">
      <c r="A14" s="79">
        <v>7</v>
      </c>
      <c r="B14" s="80" t="s">
        <v>187</v>
      </c>
      <c r="C14" s="81">
        <f t="shared" si="0"/>
        <v>3301000000</v>
      </c>
      <c r="D14" s="78">
        <f>'DT THU BS 04'!C13*1000</f>
        <v>3301000000</v>
      </c>
      <c r="E14" s="81"/>
      <c r="F14" s="81"/>
    </row>
    <row r="15" spans="1:6" s="7" customFormat="1" ht="23.25" customHeight="1" x14ac:dyDescent="0.3">
      <c r="A15" s="79">
        <v>8</v>
      </c>
      <c r="B15" s="80" t="s">
        <v>193</v>
      </c>
      <c r="C15" s="81">
        <f t="shared" si="0"/>
        <v>2713000000</v>
      </c>
      <c r="D15" s="78">
        <f>'DT THU BS 04'!C14*1000</f>
        <v>2713000000</v>
      </c>
      <c r="E15" s="81"/>
      <c r="F15" s="81"/>
    </row>
    <row r="16" spans="1:6" s="7" customFormat="1" ht="23.25" customHeight="1" x14ac:dyDescent="0.3">
      <c r="A16" s="79">
        <v>9</v>
      </c>
      <c r="B16" s="80" t="s">
        <v>188</v>
      </c>
      <c r="C16" s="81">
        <f t="shared" si="0"/>
        <v>2714000000</v>
      </c>
      <c r="D16" s="78">
        <f>'DT THU BS 04'!C15*1000</f>
        <v>2714000000</v>
      </c>
      <c r="E16" s="81"/>
      <c r="F16" s="81"/>
    </row>
    <row r="17" spans="1:6" s="9" customFormat="1" ht="21.75" customHeight="1" x14ac:dyDescent="0.3">
      <c r="A17" s="84"/>
      <c r="B17" s="84" t="s">
        <v>195</v>
      </c>
      <c r="C17" s="85">
        <f>SUM(C8:C16)</f>
        <v>26587000000</v>
      </c>
      <c r="D17" s="85">
        <f>SUM(D8:D16)</f>
        <v>26587000000</v>
      </c>
      <c r="E17" s="85"/>
      <c r="F17" s="85"/>
    </row>
  </sheetData>
  <mergeCells count="9">
    <mergeCell ref="E1:F1"/>
    <mergeCell ref="A2:F2"/>
    <mergeCell ref="A3:F3"/>
    <mergeCell ref="E4:F4"/>
    <mergeCell ref="A5:A7"/>
    <mergeCell ref="B5:B7"/>
    <mergeCell ref="C5:F5"/>
    <mergeCell ref="C6:C7"/>
    <mergeCell ref="D6:F6"/>
  </mergeCells>
  <pageMargins left="0.7" right="0.4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4"/>
  <sheetViews>
    <sheetView topLeftCell="A10" zoomScale="80" zoomScaleNormal="80" workbookViewId="0">
      <selection activeCell="D9" sqref="D9"/>
    </sheetView>
  </sheetViews>
  <sheetFormatPr defaultColWidth="8.7109375" defaultRowHeight="15" x14ac:dyDescent="0.25"/>
  <cols>
    <col min="1" max="1" width="5.85546875" style="156" customWidth="1"/>
    <col min="2" max="2" width="19.7109375" style="156" customWidth="1"/>
    <col min="3" max="3" width="11.28515625" style="156" customWidth="1"/>
    <col min="4" max="4" width="8.7109375" style="156"/>
    <col min="5" max="5" width="9.85546875" style="156" customWidth="1"/>
    <col min="6" max="7" width="8.7109375" style="156"/>
    <col min="8" max="8" width="6.5703125" style="156" customWidth="1"/>
    <col min="9" max="9" width="8.7109375" style="156"/>
    <col min="10" max="10" width="10.42578125" style="156" customWidth="1"/>
    <col min="11" max="11" width="11.28515625" style="156" customWidth="1"/>
    <col min="12" max="12" width="11.140625" style="156" customWidth="1"/>
    <col min="13" max="13" width="10.140625" style="156" customWidth="1"/>
    <col min="14" max="14" width="10.5703125" style="156" customWidth="1"/>
    <col min="15" max="15" width="10.42578125" style="156" customWidth="1"/>
    <col min="16" max="16" width="7.7109375" style="156" customWidth="1"/>
    <col min="17" max="17" width="7.85546875" style="156" customWidth="1"/>
    <col min="18" max="18" width="8.85546875" style="156" bestFit="1" customWidth="1"/>
    <col min="19" max="16384" width="8.7109375" style="156"/>
  </cols>
  <sheetData>
    <row r="1" spans="1:22" s="152" customFormat="1" ht="12.75" x14ac:dyDescent="0.2">
      <c r="Q1" s="257" t="s">
        <v>196</v>
      </c>
      <c r="R1" s="257"/>
    </row>
    <row r="2" spans="1:22" s="6" customFormat="1" ht="18.75" x14ac:dyDescent="0.3">
      <c r="A2" s="258" t="s">
        <v>544</v>
      </c>
      <c r="B2" s="245"/>
      <c r="C2" s="245"/>
      <c r="D2" s="245"/>
      <c r="E2" s="245"/>
      <c r="F2" s="245"/>
      <c r="G2" s="245"/>
      <c r="H2" s="245"/>
      <c r="I2" s="245"/>
      <c r="J2" s="245"/>
      <c r="K2" s="245"/>
      <c r="L2" s="245"/>
      <c r="M2" s="245"/>
      <c r="N2" s="245"/>
      <c r="O2" s="245"/>
      <c r="P2" s="245"/>
      <c r="Q2" s="245"/>
      <c r="R2" s="245"/>
    </row>
    <row r="3" spans="1:22" s="6" customFormat="1" ht="27.75" customHeight="1" x14ac:dyDescent="0.25">
      <c r="A3" s="259" t="str">
        <f>'DT THU BS 03'!A3:F3</f>
        <v>(Kèm theo Tờ trình số 79/TTr-UBND ngày 06/12/2024 của UBND huyện Sơn Tây)</v>
      </c>
      <c r="B3" s="260"/>
      <c r="C3" s="260"/>
      <c r="D3" s="260"/>
      <c r="E3" s="260"/>
      <c r="F3" s="260"/>
      <c r="G3" s="260"/>
      <c r="H3" s="260"/>
      <c r="I3" s="260"/>
      <c r="J3" s="260"/>
      <c r="K3" s="260"/>
      <c r="L3" s="260"/>
      <c r="M3" s="260"/>
      <c r="N3" s="260"/>
      <c r="O3" s="260"/>
      <c r="P3" s="260"/>
      <c r="Q3" s="260"/>
      <c r="R3" s="260"/>
    </row>
    <row r="4" spans="1:22" s="6" customFormat="1" ht="24" customHeight="1" x14ac:dyDescent="0.25">
      <c r="E4" s="152"/>
      <c r="F4" s="152"/>
      <c r="G4" s="152"/>
      <c r="H4" s="152"/>
      <c r="I4" s="152"/>
      <c r="J4" s="152"/>
      <c r="K4" s="152"/>
      <c r="N4" s="261" t="s">
        <v>197</v>
      </c>
      <c r="O4" s="261"/>
      <c r="P4" s="261"/>
      <c r="Q4" s="261"/>
      <c r="R4" s="261"/>
    </row>
    <row r="5" spans="1:22" s="163" customFormat="1" ht="20.25" customHeight="1" x14ac:dyDescent="0.2">
      <c r="A5" s="255" t="s">
        <v>198</v>
      </c>
      <c r="B5" s="255" t="s">
        <v>199</v>
      </c>
      <c r="C5" s="256" t="s">
        <v>606</v>
      </c>
      <c r="D5" s="255" t="s">
        <v>200</v>
      </c>
      <c r="E5" s="256" t="s">
        <v>333</v>
      </c>
      <c r="F5" s="256" t="s">
        <v>201</v>
      </c>
      <c r="G5" s="256" t="s">
        <v>202</v>
      </c>
      <c r="H5" s="256" t="s">
        <v>203</v>
      </c>
      <c r="I5" s="256" t="s">
        <v>204</v>
      </c>
      <c r="J5" s="256" t="s">
        <v>205</v>
      </c>
      <c r="K5" s="256" t="s">
        <v>206</v>
      </c>
      <c r="L5" s="255" t="s">
        <v>347</v>
      </c>
      <c r="M5" s="255"/>
      <c r="N5" s="255"/>
      <c r="O5" s="255"/>
      <c r="P5" s="255"/>
      <c r="Q5" s="256" t="s">
        <v>207</v>
      </c>
      <c r="R5" s="253" t="s">
        <v>208</v>
      </c>
      <c r="S5" s="162"/>
      <c r="T5" s="162"/>
      <c r="U5" s="162"/>
      <c r="V5" s="162"/>
    </row>
    <row r="6" spans="1:22" s="163" customFormat="1" ht="41.25" customHeight="1" x14ac:dyDescent="0.2">
      <c r="A6" s="255"/>
      <c r="B6" s="255"/>
      <c r="C6" s="256"/>
      <c r="D6" s="255"/>
      <c r="E6" s="256"/>
      <c r="F6" s="256"/>
      <c r="G6" s="256"/>
      <c r="H6" s="256"/>
      <c r="I6" s="256"/>
      <c r="J6" s="256"/>
      <c r="K6" s="256"/>
      <c r="L6" s="141" t="s">
        <v>209</v>
      </c>
      <c r="M6" s="141" t="s">
        <v>210</v>
      </c>
      <c r="N6" s="141" t="s">
        <v>211</v>
      </c>
      <c r="O6" s="140" t="s">
        <v>212</v>
      </c>
      <c r="P6" s="140" t="s">
        <v>213</v>
      </c>
      <c r="Q6" s="256"/>
      <c r="R6" s="253"/>
      <c r="S6" s="162"/>
      <c r="T6" s="162"/>
      <c r="U6" s="162"/>
      <c r="V6" s="162"/>
    </row>
    <row r="7" spans="1:22" s="155" customFormat="1" ht="22.15" customHeight="1" x14ac:dyDescent="0.3">
      <c r="A7" s="172">
        <v>1</v>
      </c>
      <c r="B7" s="173" t="s">
        <v>219</v>
      </c>
      <c r="C7" s="174">
        <f>E7+F7+G7+J7+K7+L7</f>
        <v>2713000</v>
      </c>
      <c r="D7" s="174"/>
      <c r="E7" s="174"/>
      <c r="F7" s="174">
        <v>2000</v>
      </c>
      <c r="G7" s="174"/>
      <c r="H7" s="174"/>
      <c r="I7" s="174"/>
      <c r="J7" s="174"/>
      <c r="K7" s="174">
        <v>0</v>
      </c>
      <c r="L7" s="174">
        <f>M7+O7</f>
        <v>2711000</v>
      </c>
      <c r="M7" s="174">
        <v>0</v>
      </c>
      <c r="N7" s="174"/>
      <c r="O7" s="174">
        <v>2711000</v>
      </c>
      <c r="P7" s="174"/>
      <c r="Q7" s="175"/>
      <c r="R7" s="176"/>
      <c r="S7" s="177"/>
      <c r="T7" s="177"/>
      <c r="U7" s="177"/>
      <c r="V7" s="177"/>
    </row>
    <row r="8" spans="1:22" s="154" customFormat="1" ht="22.15" customHeight="1" x14ac:dyDescent="0.25">
      <c r="A8" s="157">
        <v>2</v>
      </c>
      <c r="B8" s="158" t="s">
        <v>218</v>
      </c>
      <c r="C8" s="159">
        <f>E8+F8+G8+J8+K8+L8</f>
        <v>2746000</v>
      </c>
      <c r="D8" s="159"/>
      <c r="E8" s="159"/>
      <c r="F8" s="159">
        <v>5000</v>
      </c>
      <c r="G8" s="159"/>
      <c r="H8" s="159"/>
      <c r="I8" s="159"/>
      <c r="J8" s="159"/>
      <c r="K8" s="159">
        <v>10000</v>
      </c>
      <c r="L8" s="159">
        <f>M8+O8</f>
        <v>2731000</v>
      </c>
      <c r="M8" s="159">
        <v>20000</v>
      </c>
      <c r="N8" s="159"/>
      <c r="O8" s="174">
        <v>2711000</v>
      </c>
      <c r="P8" s="159"/>
      <c r="Q8" s="160"/>
      <c r="R8" s="161"/>
      <c r="S8" s="153"/>
      <c r="T8" s="153"/>
      <c r="U8" s="153"/>
      <c r="V8" s="153"/>
    </row>
    <row r="9" spans="1:22" s="154" customFormat="1" ht="22.15" customHeight="1" x14ac:dyDescent="0.25">
      <c r="A9" s="157">
        <v>3</v>
      </c>
      <c r="B9" s="158" t="s">
        <v>217</v>
      </c>
      <c r="C9" s="159">
        <f>E9+F9+G9+J9+K9+L9</f>
        <v>2716000</v>
      </c>
      <c r="D9" s="159"/>
      <c r="E9" s="159"/>
      <c r="F9" s="159">
        <v>5000</v>
      </c>
      <c r="G9" s="159"/>
      <c r="H9" s="159"/>
      <c r="I9" s="159"/>
      <c r="J9" s="159"/>
      <c r="K9" s="159">
        <v>0</v>
      </c>
      <c r="L9" s="159">
        <f>M9+O9</f>
        <v>2711000</v>
      </c>
      <c r="M9" s="159">
        <v>0</v>
      </c>
      <c r="N9" s="159"/>
      <c r="O9" s="174">
        <v>2711000</v>
      </c>
      <c r="P9" s="159"/>
      <c r="Q9" s="160"/>
      <c r="R9" s="161"/>
      <c r="S9" s="153"/>
      <c r="T9" s="153"/>
      <c r="U9" s="153"/>
      <c r="V9" s="153"/>
    </row>
    <row r="10" spans="1:22" s="178" customFormat="1" ht="22.15" customHeight="1" x14ac:dyDescent="0.25">
      <c r="A10" s="172">
        <v>4</v>
      </c>
      <c r="B10" s="173" t="s">
        <v>215</v>
      </c>
      <c r="C10" s="174">
        <f t="shared" ref="C10" si="0">E10+F10+G10+J10+K10+L10</f>
        <v>2971000</v>
      </c>
      <c r="D10" s="174"/>
      <c r="E10" s="174"/>
      <c r="F10" s="174">
        <v>15000</v>
      </c>
      <c r="G10" s="174"/>
      <c r="H10" s="174"/>
      <c r="I10" s="174"/>
      <c r="J10" s="174"/>
      <c r="K10" s="174">
        <f t="shared" ref="K10" si="1">M10/2</f>
        <v>15000</v>
      </c>
      <c r="L10" s="174">
        <f>M10+O10</f>
        <v>2941000</v>
      </c>
      <c r="M10" s="174">
        <v>30000</v>
      </c>
      <c r="N10" s="174"/>
      <c r="O10" s="174">
        <v>2911000</v>
      </c>
      <c r="P10" s="174"/>
      <c r="Q10" s="175"/>
      <c r="R10" s="176"/>
      <c r="S10" s="177"/>
      <c r="T10" s="177"/>
      <c r="U10" s="177"/>
      <c r="V10" s="177"/>
    </row>
    <row r="11" spans="1:22" s="178" customFormat="1" ht="22.15" customHeight="1" x14ac:dyDescent="0.25">
      <c r="A11" s="172">
        <v>5</v>
      </c>
      <c r="B11" s="173" t="s">
        <v>214</v>
      </c>
      <c r="C11" s="174">
        <f>E11+F11+G11+J11+K11+L11</f>
        <v>3901000</v>
      </c>
      <c r="D11" s="174"/>
      <c r="E11" s="174"/>
      <c r="F11" s="174">
        <v>40000</v>
      </c>
      <c r="G11" s="174"/>
      <c r="H11" s="174"/>
      <c r="I11" s="174"/>
      <c r="J11" s="174"/>
      <c r="K11" s="174">
        <v>250000</v>
      </c>
      <c r="L11" s="174">
        <f t="shared" ref="L11" si="2">M11+O11</f>
        <v>3611000</v>
      </c>
      <c r="M11" s="174">
        <v>500000</v>
      </c>
      <c r="N11" s="174"/>
      <c r="O11" s="174">
        <v>3111000</v>
      </c>
      <c r="P11" s="174"/>
      <c r="Q11" s="175"/>
      <c r="R11" s="176"/>
      <c r="S11" s="177"/>
      <c r="T11" s="177"/>
      <c r="U11" s="177"/>
      <c r="V11" s="177"/>
    </row>
    <row r="12" spans="1:22" s="178" customFormat="1" ht="22.15" customHeight="1" x14ac:dyDescent="0.25">
      <c r="A12" s="172">
        <v>6</v>
      </c>
      <c r="B12" s="173" t="s">
        <v>220</v>
      </c>
      <c r="C12" s="174">
        <f>E12+F12+G12+J12+K12+L12</f>
        <v>2812000</v>
      </c>
      <c r="D12" s="174"/>
      <c r="E12" s="174"/>
      <c r="F12" s="174">
        <v>1000</v>
      </c>
      <c r="G12" s="174"/>
      <c r="H12" s="174"/>
      <c r="I12" s="174"/>
      <c r="J12" s="174"/>
      <c r="K12" s="174">
        <v>0</v>
      </c>
      <c r="L12" s="174">
        <f>M12+O12</f>
        <v>2811000</v>
      </c>
      <c r="M12" s="174">
        <v>0</v>
      </c>
      <c r="N12" s="174"/>
      <c r="O12" s="174">
        <v>2811000</v>
      </c>
      <c r="P12" s="174"/>
      <c r="Q12" s="175"/>
      <c r="R12" s="176"/>
      <c r="S12" s="177"/>
      <c r="T12" s="177"/>
      <c r="U12" s="177"/>
      <c r="V12" s="177"/>
    </row>
    <row r="13" spans="1:22" s="154" customFormat="1" ht="22.15" customHeight="1" x14ac:dyDescent="0.25">
      <c r="A13" s="157">
        <v>7</v>
      </c>
      <c r="B13" s="158" t="s">
        <v>216</v>
      </c>
      <c r="C13" s="159">
        <f>E13+F13+G13+J13+K13+L13</f>
        <v>3301000</v>
      </c>
      <c r="D13" s="159"/>
      <c r="E13" s="159"/>
      <c r="F13" s="159">
        <v>15000</v>
      </c>
      <c r="G13" s="159"/>
      <c r="H13" s="159"/>
      <c r="I13" s="159"/>
      <c r="J13" s="159"/>
      <c r="K13" s="159">
        <v>125000</v>
      </c>
      <c r="L13" s="159">
        <f>M13+O13</f>
        <v>3161000</v>
      </c>
      <c r="M13" s="159">
        <v>250000</v>
      </c>
      <c r="N13" s="159"/>
      <c r="O13" s="159">
        <v>2911000</v>
      </c>
      <c r="P13" s="159"/>
      <c r="Q13" s="160"/>
      <c r="R13" s="161"/>
      <c r="S13" s="153"/>
      <c r="T13" s="153"/>
      <c r="U13" s="153"/>
      <c r="V13" s="153"/>
    </row>
    <row r="14" spans="1:22" s="154" customFormat="1" ht="22.15" customHeight="1" x14ac:dyDescent="0.25">
      <c r="A14" s="157">
        <v>8</v>
      </c>
      <c r="B14" s="158" t="s">
        <v>222</v>
      </c>
      <c r="C14" s="159">
        <f>E14+F14+G14+J14+K14+L14</f>
        <v>2713000</v>
      </c>
      <c r="D14" s="159"/>
      <c r="E14" s="159"/>
      <c r="F14" s="159">
        <v>2000</v>
      </c>
      <c r="G14" s="159"/>
      <c r="H14" s="159"/>
      <c r="I14" s="159"/>
      <c r="J14" s="159"/>
      <c r="K14" s="159">
        <f>M14/2</f>
        <v>0</v>
      </c>
      <c r="L14" s="159">
        <f>M14+O14</f>
        <v>2711000</v>
      </c>
      <c r="M14" s="159">
        <v>0</v>
      </c>
      <c r="N14" s="159"/>
      <c r="O14" s="159">
        <v>2711000</v>
      </c>
      <c r="P14" s="159"/>
      <c r="Q14" s="160"/>
      <c r="R14" s="161"/>
      <c r="S14" s="153"/>
      <c r="T14" s="153"/>
      <c r="U14" s="153"/>
      <c r="V14" s="153"/>
    </row>
    <row r="15" spans="1:22" s="154" customFormat="1" ht="22.15" customHeight="1" x14ac:dyDescent="0.25">
      <c r="A15" s="157">
        <v>9</v>
      </c>
      <c r="B15" s="158" t="s">
        <v>221</v>
      </c>
      <c r="C15" s="159">
        <f>E15+F15+G15+J15+K15+L15</f>
        <v>2714000</v>
      </c>
      <c r="D15" s="159"/>
      <c r="E15" s="159"/>
      <c r="F15" s="159">
        <v>2000</v>
      </c>
      <c r="G15" s="159"/>
      <c r="H15" s="159"/>
      <c r="I15" s="159"/>
      <c r="J15" s="159"/>
      <c r="K15" s="159"/>
      <c r="L15" s="159">
        <f>M15+O15</f>
        <v>2712000</v>
      </c>
      <c r="M15" s="159"/>
      <c r="N15" s="159"/>
      <c r="O15" s="159">
        <v>2712000</v>
      </c>
      <c r="P15" s="159"/>
      <c r="Q15" s="160"/>
      <c r="R15" s="161"/>
      <c r="S15" s="153"/>
      <c r="T15" s="153"/>
      <c r="U15" s="153"/>
      <c r="V15" s="153"/>
    </row>
    <row r="16" spans="1:22" s="51" customFormat="1" ht="22.15" customHeight="1" x14ac:dyDescent="0.25">
      <c r="A16" s="53"/>
      <c r="B16" s="49" t="s">
        <v>334</v>
      </c>
      <c r="C16" s="50">
        <f>SUM(C7:C15)</f>
        <v>26587000</v>
      </c>
      <c r="D16" s="50">
        <f t="shared" ref="D16:E16" si="3">SUM(D7:D15)</f>
        <v>0</v>
      </c>
      <c r="E16" s="50">
        <f t="shared" si="3"/>
        <v>0</v>
      </c>
      <c r="F16" s="50">
        <f>SUM(F7:F15)</f>
        <v>87000</v>
      </c>
      <c r="G16" s="50">
        <f t="shared" ref="G16" si="4">SUM(G7:G15)</f>
        <v>0</v>
      </c>
      <c r="H16" s="50">
        <f t="shared" ref="H16" si="5">SUM(H7:H15)</f>
        <v>0</v>
      </c>
      <c r="I16" s="50">
        <f t="shared" ref="I16:J16" si="6">SUM(I7:I15)</f>
        <v>0</v>
      </c>
      <c r="J16" s="50">
        <f t="shared" si="6"/>
        <v>0</v>
      </c>
      <c r="K16" s="50">
        <f t="shared" ref="K16" si="7">SUM(K7:K15)</f>
        <v>400000</v>
      </c>
      <c r="L16" s="50">
        <f t="shared" ref="L16" si="8">SUM(L7:L15)</f>
        <v>26100000</v>
      </c>
      <c r="M16" s="50">
        <f t="shared" ref="M16:N16" si="9">SUM(M7:M15)</f>
        <v>800000</v>
      </c>
      <c r="N16" s="50">
        <f t="shared" si="9"/>
        <v>0</v>
      </c>
      <c r="O16" s="50">
        <f t="shared" ref="O16" si="10">SUM(O7:O15)</f>
        <v>25300000</v>
      </c>
      <c r="P16" s="50">
        <f>SUM(P11:P15)</f>
        <v>0</v>
      </c>
      <c r="Q16" s="50">
        <f>SUM(Q11:Q15)</f>
        <v>0</v>
      </c>
      <c r="R16" s="50">
        <f>SUM(R11:R15)</f>
        <v>0</v>
      </c>
      <c r="S16" s="153"/>
      <c r="T16" s="153"/>
      <c r="U16" s="153"/>
      <c r="V16" s="153"/>
    </row>
    <row r="17" spans="1:22" s="52" customFormat="1" ht="22.15" customHeight="1" x14ac:dyDescent="0.25">
      <c r="A17" s="157">
        <v>10</v>
      </c>
      <c r="B17" s="161" t="s">
        <v>335</v>
      </c>
      <c r="C17" s="159">
        <f>SUM(D17:L17)</f>
        <v>6503000</v>
      </c>
      <c r="D17" s="159"/>
      <c r="E17" s="159"/>
      <c r="F17" s="159">
        <v>283000</v>
      </c>
      <c r="G17" s="159">
        <v>1200000</v>
      </c>
      <c r="H17" s="159"/>
      <c r="I17" s="159">
        <v>50000</v>
      </c>
      <c r="J17" s="159"/>
      <c r="K17" s="159">
        <v>140000</v>
      </c>
      <c r="L17" s="159">
        <f>SUM(M17:P17)</f>
        <v>4830000</v>
      </c>
      <c r="M17" s="159">
        <v>1620000</v>
      </c>
      <c r="N17" s="159">
        <v>210000</v>
      </c>
      <c r="O17" s="159">
        <v>3000000</v>
      </c>
      <c r="P17" s="159"/>
      <c r="Q17" s="161"/>
      <c r="R17" s="164"/>
      <c r="S17" s="153"/>
      <c r="T17" s="153"/>
      <c r="U17" s="153"/>
      <c r="V17" s="153"/>
    </row>
    <row r="18" spans="1:22" s="52" customFormat="1" ht="22.15" customHeight="1" x14ac:dyDescent="0.25">
      <c r="A18" s="157">
        <v>11</v>
      </c>
      <c r="B18" s="161" t="s">
        <v>336</v>
      </c>
      <c r="C18" s="159">
        <f t="shared" ref="C18:C21" si="11">SUM(D18:L18)</f>
        <v>84370000</v>
      </c>
      <c r="D18" s="159"/>
      <c r="E18" s="159"/>
      <c r="F18" s="159"/>
      <c r="G18" s="159"/>
      <c r="H18" s="159"/>
      <c r="I18" s="159"/>
      <c r="J18" s="159"/>
      <c r="K18" s="159"/>
      <c r="L18" s="159">
        <f t="shared" ref="L18:L22" si="12">SUM(M18:P18)</f>
        <v>84370000</v>
      </c>
      <c r="M18" s="159">
        <v>55900000</v>
      </c>
      <c r="N18" s="159">
        <v>6170000</v>
      </c>
      <c r="O18" s="159">
        <v>22300000</v>
      </c>
      <c r="P18" s="159"/>
      <c r="Q18" s="161"/>
      <c r="R18" s="164"/>
      <c r="S18" s="153"/>
      <c r="T18" s="153"/>
      <c r="U18" s="153"/>
      <c r="V18" s="153"/>
    </row>
    <row r="19" spans="1:22" s="52" customFormat="1" ht="22.15" customHeight="1" x14ac:dyDescent="0.25">
      <c r="A19" s="157">
        <v>12</v>
      </c>
      <c r="B19" s="161" t="s">
        <v>223</v>
      </c>
      <c r="C19" s="159">
        <f t="shared" si="11"/>
        <v>200000</v>
      </c>
      <c r="D19" s="159"/>
      <c r="E19" s="159"/>
      <c r="F19" s="159"/>
      <c r="G19" s="159"/>
      <c r="H19" s="159"/>
      <c r="I19" s="159"/>
      <c r="J19" s="159">
        <v>200000</v>
      </c>
      <c r="K19" s="159"/>
      <c r="L19" s="159">
        <f t="shared" si="12"/>
        <v>0</v>
      </c>
      <c r="M19" s="159"/>
      <c r="N19" s="159"/>
      <c r="O19" s="159"/>
      <c r="P19" s="159"/>
      <c r="Q19" s="161"/>
      <c r="R19" s="161"/>
      <c r="S19" s="153"/>
      <c r="T19" s="153"/>
      <c r="U19" s="153"/>
      <c r="V19" s="153"/>
    </row>
    <row r="20" spans="1:22" s="52" customFormat="1" ht="22.15" customHeight="1" x14ac:dyDescent="0.25">
      <c r="A20" s="157">
        <v>13</v>
      </c>
      <c r="B20" s="161" t="s">
        <v>225</v>
      </c>
      <c r="C20" s="159">
        <f t="shared" si="11"/>
        <v>50000</v>
      </c>
      <c r="D20" s="159"/>
      <c r="E20" s="159"/>
      <c r="F20" s="159">
        <v>50000</v>
      </c>
      <c r="G20" s="159"/>
      <c r="H20" s="159"/>
      <c r="I20" s="159"/>
      <c r="J20" s="159"/>
      <c r="K20" s="159"/>
      <c r="L20" s="159">
        <f t="shared" si="12"/>
        <v>0</v>
      </c>
      <c r="M20" s="159"/>
      <c r="N20" s="159"/>
      <c r="O20" s="159"/>
      <c r="P20" s="159"/>
      <c r="Q20" s="161"/>
      <c r="R20" s="161"/>
      <c r="S20" s="153"/>
      <c r="T20" s="153"/>
      <c r="U20" s="153"/>
      <c r="V20" s="153"/>
    </row>
    <row r="21" spans="1:22" s="52" customFormat="1" ht="22.15" customHeight="1" x14ac:dyDescent="0.25">
      <c r="A21" s="157">
        <v>14</v>
      </c>
      <c r="B21" s="161" t="s">
        <v>337</v>
      </c>
      <c r="C21" s="159">
        <f t="shared" si="11"/>
        <v>10000</v>
      </c>
      <c r="D21" s="159"/>
      <c r="E21" s="159"/>
      <c r="F21" s="159">
        <v>10000</v>
      </c>
      <c r="G21" s="159"/>
      <c r="H21" s="159"/>
      <c r="I21" s="159"/>
      <c r="J21" s="159"/>
      <c r="K21" s="159"/>
      <c r="L21" s="159">
        <f t="shared" si="12"/>
        <v>0</v>
      </c>
      <c r="M21" s="159"/>
      <c r="N21" s="159"/>
      <c r="O21" s="159"/>
      <c r="P21" s="159"/>
      <c r="Q21" s="161"/>
      <c r="R21" s="161"/>
      <c r="S21" s="153"/>
      <c r="T21" s="153"/>
      <c r="U21" s="153"/>
      <c r="V21" s="153"/>
    </row>
    <row r="22" spans="1:22" s="52" customFormat="1" ht="22.15" customHeight="1" x14ac:dyDescent="0.25">
      <c r="A22" s="157">
        <v>15</v>
      </c>
      <c r="B22" s="161" t="s">
        <v>226</v>
      </c>
      <c r="C22" s="159">
        <f>R22</f>
        <v>1000000</v>
      </c>
      <c r="D22" s="159"/>
      <c r="E22" s="159"/>
      <c r="F22" s="159"/>
      <c r="G22" s="159"/>
      <c r="H22" s="159"/>
      <c r="I22" s="159"/>
      <c r="J22" s="159"/>
      <c r="K22" s="159"/>
      <c r="L22" s="159">
        <f t="shared" si="12"/>
        <v>0</v>
      </c>
      <c r="M22" s="159"/>
      <c r="N22" s="159"/>
      <c r="O22" s="159"/>
      <c r="P22" s="159"/>
      <c r="Q22" s="165"/>
      <c r="R22" s="164">
        <v>1000000</v>
      </c>
      <c r="S22" s="153"/>
      <c r="T22" s="153"/>
      <c r="U22" s="153"/>
      <c r="V22" s="153"/>
    </row>
    <row r="23" spans="1:22" s="51" customFormat="1" ht="22.15" customHeight="1" x14ac:dyDescent="0.25">
      <c r="A23" s="53"/>
      <c r="B23" s="49" t="s">
        <v>338</v>
      </c>
      <c r="C23" s="166">
        <f t="shared" ref="C23:R23" si="13">SUM(C17:C22)</f>
        <v>92133000</v>
      </c>
      <c r="D23" s="166">
        <f t="shared" si="13"/>
        <v>0</v>
      </c>
      <c r="E23" s="166">
        <f t="shared" si="13"/>
        <v>0</v>
      </c>
      <c r="F23" s="166">
        <f t="shared" si="13"/>
        <v>343000</v>
      </c>
      <c r="G23" s="166">
        <f t="shared" si="13"/>
        <v>1200000</v>
      </c>
      <c r="H23" s="166">
        <f t="shared" si="13"/>
        <v>0</v>
      </c>
      <c r="I23" s="166">
        <f t="shared" si="13"/>
        <v>50000</v>
      </c>
      <c r="J23" s="166">
        <f t="shared" si="13"/>
        <v>200000</v>
      </c>
      <c r="K23" s="166">
        <f t="shared" si="13"/>
        <v>140000</v>
      </c>
      <c r="L23" s="166">
        <f t="shared" si="13"/>
        <v>89200000</v>
      </c>
      <c r="M23" s="166">
        <f t="shared" si="13"/>
        <v>57520000</v>
      </c>
      <c r="N23" s="166">
        <f t="shared" si="13"/>
        <v>6380000</v>
      </c>
      <c r="O23" s="166">
        <f t="shared" si="13"/>
        <v>25300000</v>
      </c>
      <c r="P23" s="166">
        <f t="shared" si="13"/>
        <v>0</v>
      </c>
      <c r="Q23" s="166">
        <f t="shared" si="13"/>
        <v>0</v>
      </c>
      <c r="R23" s="166">
        <f t="shared" si="13"/>
        <v>1000000</v>
      </c>
      <c r="S23" s="153"/>
      <c r="T23" s="153"/>
      <c r="U23" s="153"/>
      <c r="V23" s="153"/>
    </row>
    <row r="24" spans="1:22" s="51" customFormat="1" ht="30" customHeight="1" x14ac:dyDescent="0.25">
      <c r="A24" s="253" t="s">
        <v>339</v>
      </c>
      <c r="B24" s="254"/>
      <c r="C24" s="54">
        <f t="shared" ref="C24:R24" si="14">C23+C16</f>
        <v>118720000</v>
      </c>
      <c r="D24" s="54">
        <f t="shared" si="14"/>
        <v>0</v>
      </c>
      <c r="E24" s="54">
        <f t="shared" si="14"/>
        <v>0</v>
      </c>
      <c r="F24" s="54">
        <f t="shared" si="14"/>
        <v>430000</v>
      </c>
      <c r="G24" s="54">
        <f t="shared" si="14"/>
        <v>1200000</v>
      </c>
      <c r="H24" s="54">
        <f t="shared" si="14"/>
        <v>0</v>
      </c>
      <c r="I24" s="54">
        <f t="shared" si="14"/>
        <v>50000</v>
      </c>
      <c r="J24" s="54">
        <f t="shared" si="14"/>
        <v>200000</v>
      </c>
      <c r="K24" s="54">
        <f t="shared" si="14"/>
        <v>540000</v>
      </c>
      <c r="L24" s="54">
        <f t="shared" si="14"/>
        <v>115300000</v>
      </c>
      <c r="M24" s="54">
        <f t="shared" si="14"/>
        <v>58320000</v>
      </c>
      <c r="N24" s="54">
        <f t="shared" si="14"/>
        <v>6380000</v>
      </c>
      <c r="O24" s="54">
        <f t="shared" si="14"/>
        <v>50600000</v>
      </c>
      <c r="P24" s="54">
        <f t="shared" si="14"/>
        <v>0</v>
      </c>
      <c r="Q24" s="54">
        <f t="shared" si="14"/>
        <v>0</v>
      </c>
      <c r="R24" s="54">
        <f t="shared" si="14"/>
        <v>1000000</v>
      </c>
      <c r="S24" s="153"/>
      <c r="T24" s="153"/>
      <c r="U24" s="153"/>
      <c r="V24" s="153"/>
    </row>
  </sheetData>
  <mergeCells count="19">
    <mergeCell ref="Q1:R1"/>
    <mergeCell ref="A2:R2"/>
    <mergeCell ref="A3:R3"/>
    <mergeCell ref="N4:R4"/>
    <mergeCell ref="E5:E6"/>
    <mergeCell ref="F5:F6"/>
    <mergeCell ref="G5:G6"/>
    <mergeCell ref="H5:H6"/>
    <mergeCell ref="I5:I6"/>
    <mergeCell ref="J5:J6"/>
    <mergeCell ref="L5:P5"/>
    <mergeCell ref="K5:K6"/>
    <mergeCell ref="Q5:Q6"/>
    <mergeCell ref="R5:R6"/>
    <mergeCell ref="A24:B24"/>
    <mergeCell ref="A5:A6"/>
    <mergeCell ref="B5:B6"/>
    <mergeCell ref="C5:C6"/>
    <mergeCell ref="D5:D6"/>
  </mergeCells>
  <pageMargins left="0.2" right="0" top="0.5" bottom="0.25" header="0.3" footer="0.3"/>
  <pageSetup paperSize="9" scale="8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1"/>
  <sheetViews>
    <sheetView topLeftCell="A7" zoomScale="80" zoomScaleNormal="80" workbookViewId="0">
      <selection activeCell="P13" sqref="P13"/>
    </sheetView>
  </sheetViews>
  <sheetFormatPr defaultColWidth="9.140625" defaultRowHeight="15" x14ac:dyDescent="0.25"/>
  <cols>
    <col min="1" max="1" width="5.42578125" style="98" customWidth="1"/>
    <col min="2" max="2" width="11" style="98" customWidth="1"/>
    <col min="3" max="4" width="14.42578125" style="98" customWidth="1"/>
    <col min="5" max="5" width="11.85546875" style="98" customWidth="1"/>
    <col min="6" max="6" width="13.5703125" style="98" customWidth="1"/>
    <col min="7" max="7" width="14.140625" style="98" customWidth="1"/>
    <col min="8" max="8" width="14.28515625" style="98" customWidth="1"/>
    <col min="9" max="10" width="13.42578125" style="98" customWidth="1"/>
    <col min="11" max="11" width="14.7109375" style="98" customWidth="1"/>
    <col min="12" max="12" width="11.28515625" style="98" hidden="1" customWidth="1"/>
    <col min="13" max="16384" width="9.140625" style="98"/>
  </cols>
  <sheetData>
    <row r="1" spans="1:12" s="102" customFormat="1" ht="17.25" customHeight="1" x14ac:dyDescent="0.2">
      <c r="J1" s="263" t="s">
        <v>227</v>
      </c>
      <c r="K1" s="263"/>
    </row>
    <row r="2" spans="1:12" s="102" customFormat="1" ht="39.75" customHeight="1" x14ac:dyDescent="0.2">
      <c r="A2" s="264" t="s">
        <v>545</v>
      </c>
      <c r="B2" s="264"/>
      <c r="C2" s="264"/>
      <c r="D2" s="264"/>
      <c r="E2" s="264"/>
      <c r="F2" s="264"/>
      <c r="G2" s="264"/>
      <c r="H2" s="264"/>
      <c r="I2" s="264"/>
      <c r="J2" s="264"/>
      <c r="K2" s="264"/>
    </row>
    <row r="3" spans="1:12" s="102" customFormat="1" ht="17.25" customHeight="1" x14ac:dyDescent="0.2">
      <c r="A3" s="265" t="str">
        <f>'DT THU BS 04'!A3:R3</f>
        <v>(Kèm theo Tờ trình số 79/TTr-UBND ngày 06/12/2024 của UBND huyện Sơn Tây)</v>
      </c>
      <c r="B3" s="266"/>
      <c r="C3" s="266"/>
      <c r="D3" s="266"/>
      <c r="E3" s="266"/>
      <c r="F3" s="266"/>
      <c r="G3" s="266"/>
      <c r="H3" s="266"/>
      <c r="I3" s="266"/>
      <c r="J3" s="266"/>
      <c r="K3" s="266"/>
    </row>
    <row r="4" spans="1:12" s="102" customFormat="1" ht="15.75" x14ac:dyDescent="0.25">
      <c r="A4" s="13"/>
      <c r="B4" s="13"/>
      <c r="C4" s="13"/>
      <c r="D4" s="13"/>
      <c r="E4" s="13"/>
      <c r="F4" s="13"/>
      <c r="G4" s="13"/>
      <c r="H4" s="14"/>
      <c r="I4" s="13"/>
      <c r="J4" s="13"/>
      <c r="K4" s="15" t="s">
        <v>228</v>
      </c>
    </row>
    <row r="5" spans="1:12" s="102" customFormat="1" ht="21.75" customHeight="1" x14ac:dyDescent="0.2">
      <c r="A5" s="262" t="s">
        <v>115</v>
      </c>
      <c r="B5" s="262" t="s">
        <v>181</v>
      </c>
      <c r="C5" s="262" t="s">
        <v>118</v>
      </c>
      <c r="D5" s="262" t="s">
        <v>229</v>
      </c>
      <c r="E5" s="262" t="s">
        <v>230</v>
      </c>
      <c r="F5" s="262"/>
      <c r="G5" s="262"/>
      <c r="H5" s="262" t="s">
        <v>231</v>
      </c>
      <c r="I5" s="262" t="s">
        <v>232</v>
      </c>
      <c r="J5" s="262" t="s">
        <v>233</v>
      </c>
      <c r="K5" s="262" t="s">
        <v>234</v>
      </c>
    </row>
    <row r="6" spans="1:12" s="102" customFormat="1" ht="23.25" customHeight="1" x14ac:dyDescent="0.2">
      <c r="A6" s="262"/>
      <c r="B6" s="262"/>
      <c r="C6" s="262"/>
      <c r="D6" s="262"/>
      <c r="E6" s="262" t="s">
        <v>235</v>
      </c>
      <c r="F6" s="262" t="s">
        <v>236</v>
      </c>
      <c r="G6" s="262"/>
      <c r="H6" s="262"/>
      <c r="I6" s="262"/>
      <c r="J6" s="262"/>
      <c r="K6" s="262"/>
    </row>
    <row r="7" spans="1:12" s="102" customFormat="1" ht="48.75" customHeight="1" x14ac:dyDescent="0.2">
      <c r="A7" s="262"/>
      <c r="B7" s="262"/>
      <c r="C7" s="262"/>
      <c r="D7" s="262"/>
      <c r="E7" s="262"/>
      <c r="F7" s="123" t="s">
        <v>182</v>
      </c>
      <c r="G7" s="123" t="s">
        <v>237</v>
      </c>
      <c r="H7" s="262"/>
      <c r="I7" s="262"/>
      <c r="J7" s="262"/>
      <c r="K7" s="262"/>
    </row>
    <row r="8" spans="1:12" s="171" customFormat="1" ht="21.75" customHeight="1" x14ac:dyDescent="0.2">
      <c r="A8" s="169" t="s">
        <v>149</v>
      </c>
      <c r="B8" s="169" t="s">
        <v>150</v>
      </c>
      <c r="C8" s="170" t="s">
        <v>554</v>
      </c>
      <c r="D8" s="170" t="s">
        <v>238</v>
      </c>
      <c r="E8" s="170" t="s">
        <v>239</v>
      </c>
      <c r="F8" s="170" t="s">
        <v>240</v>
      </c>
      <c r="G8" s="170" t="s">
        <v>241</v>
      </c>
      <c r="H8" s="170" t="s">
        <v>242</v>
      </c>
      <c r="I8" s="170" t="s">
        <v>243</v>
      </c>
      <c r="J8" s="170" t="s">
        <v>244</v>
      </c>
      <c r="K8" s="170" t="s">
        <v>245</v>
      </c>
    </row>
    <row r="9" spans="1:12" s="102" customFormat="1" ht="22.5" customHeight="1" x14ac:dyDescent="0.2">
      <c r="A9" s="16"/>
      <c r="B9" s="17" t="s">
        <v>246</v>
      </c>
      <c r="C9" s="18">
        <f t="shared" ref="C9:K9" si="0">SUM(C10:C18)</f>
        <v>26587000000</v>
      </c>
      <c r="D9" s="18">
        <f t="shared" si="0"/>
        <v>30587000000</v>
      </c>
      <c r="E9" s="18">
        <f t="shared" si="0"/>
        <v>87000000</v>
      </c>
      <c r="F9" s="18">
        <f t="shared" si="0"/>
        <v>26500000000</v>
      </c>
      <c r="G9" s="18">
        <f t="shared" si="0"/>
        <v>30500000000</v>
      </c>
      <c r="H9" s="18">
        <f t="shared" si="0"/>
        <v>17273296000</v>
      </c>
      <c r="I9" s="18">
        <f t="shared" si="0"/>
        <v>16248696000</v>
      </c>
      <c r="J9" s="18">
        <f>SUM(J10:J18)</f>
        <v>6017100000</v>
      </c>
      <c r="K9" s="18">
        <f t="shared" si="0"/>
        <v>70126092000</v>
      </c>
      <c r="L9" s="167"/>
    </row>
    <row r="10" spans="1:12" s="102" customFormat="1" ht="22.5" customHeight="1" x14ac:dyDescent="0.2">
      <c r="A10" s="99">
        <v>1</v>
      </c>
      <c r="B10" s="100" t="s">
        <v>252</v>
      </c>
      <c r="C10" s="101">
        <f>'DT THU BS 04'!C7*1000</f>
        <v>2713000000</v>
      </c>
      <c r="D10" s="101">
        <f t="shared" ref="D10:D15" si="1">E10+G10</f>
        <v>2913000000</v>
      </c>
      <c r="E10" s="101">
        <f>'DT THU BS 04'!F7*1000</f>
        <v>2000000</v>
      </c>
      <c r="F10" s="101">
        <f t="shared" ref="F10:F15" si="2">C10-E10</f>
        <v>2711000000</v>
      </c>
      <c r="G10" s="101">
        <v>2911000000</v>
      </c>
      <c r="H10" s="101">
        <f t="shared" ref="H10:H18" si="3">L10-D10-I10-J10</f>
        <v>2018301000</v>
      </c>
      <c r="I10" s="101">
        <f>'[2]SON LAP'!$J$7</f>
        <v>1674917000</v>
      </c>
      <c r="J10" s="101">
        <f>'DT MUC TIEU 07'!D10</f>
        <v>609096000</v>
      </c>
      <c r="K10" s="101">
        <f t="shared" ref="K10:K15" si="4">D10+H10+I10+J10</f>
        <v>7215314000</v>
      </c>
      <c r="L10" s="101">
        <f>'[2]SON LAP'!$F$7</f>
        <v>7215314000</v>
      </c>
    </row>
    <row r="11" spans="1:12" s="102" customFormat="1" ht="22.5" customHeight="1" x14ac:dyDescent="0.2">
      <c r="A11" s="99">
        <v>2</v>
      </c>
      <c r="B11" s="100" t="s">
        <v>251</v>
      </c>
      <c r="C11" s="101">
        <f>'DT THU BS 04'!C8*1000</f>
        <v>2746000000</v>
      </c>
      <c r="D11" s="101">
        <f t="shared" si="1"/>
        <v>2936000000</v>
      </c>
      <c r="E11" s="101">
        <f>'DT THU BS 04'!F8*1000</f>
        <v>5000000</v>
      </c>
      <c r="F11" s="101">
        <f t="shared" si="2"/>
        <v>2741000000</v>
      </c>
      <c r="G11" s="101">
        <v>2931000000</v>
      </c>
      <c r="H11" s="101">
        <f t="shared" si="3"/>
        <v>2470214000</v>
      </c>
      <c r="I11" s="101">
        <f>'[2]SON TINH'!$I$7</f>
        <v>1852789000</v>
      </c>
      <c r="J11" s="101">
        <f>'DT MUC TIEU 07'!E10</f>
        <v>740468000</v>
      </c>
      <c r="K11" s="101">
        <f>D11+H11+I11+J11</f>
        <v>7999471000</v>
      </c>
      <c r="L11" s="101">
        <f>'[2]SON TINH'!$F$7</f>
        <v>7999471000</v>
      </c>
    </row>
    <row r="12" spans="1:12" s="102" customFormat="1" ht="22.5" customHeight="1" x14ac:dyDescent="0.2">
      <c r="A12" s="99">
        <v>3</v>
      </c>
      <c r="B12" s="100" t="s">
        <v>255</v>
      </c>
      <c r="C12" s="101">
        <f>'DT THU BS 04'!C9*1000</f>
        <v>2716000000</v>
      </c>
      <c r="D12" s="101">
        <f t="shared" si="1"/>
        <v>3216000000</v>
      </c>
      <c r="E12" s="101">
        <f>'DT THU BS 04'!F9*1000</f>
        <v>5000000</v>
      </c>
      <c r="F12" s="101">
        <f t="shared" si="2"/>
        <v>2711000000</v>
      </c>
      <c r="G12" s="101">
        <v>3211000000</v>
      </c>
      <c r="H12" s="101">
        <f t="shared" si="3"/>
        <v>1812121000</v>
      </c>
      <c r="I12" s="101">
        <f>'[2]SON MAU'!$I$7</f>
        <v>1768667000</v>
      </c>
      <c r="J12" s="101">
        <f>'DT MUC TIEU 07'!F10</f>
        <v>662436000</v>
      </c>
      <c r="K12" s="101">
        <f t="shared" si="4"/>
        <v>7459224000</v>
      </c>
      <c r="L12" s="101">
        <f>'[2]SON MAU'!$F$7</f>
        <v>7459224000</v>
      </c>
    </row>
    <row r="13" spans="1:12" s="102" customFormat="1" ht="22.5" customHeight="1" x14ac:dyDescent="0.2">
      <c r="A13" s="99">
        <v>4</v>
      </c>
      <c r="B13" s="100" t="s">
        <v>250</v>
      </c>
      <c r="C13" s="101">
        <f>'DT THU BS 04'!C10*1000</f>
        <v>2971000000</v>
      </c>
      <c r="D13" s="101">
        <f t="shared" si="1"/>
        <v>3756000000</v>
      </c>
      <c r="E13" s="101">
        <f>'DT THU BS 04'!F10*1000</f>
        <v>15000000</v>
      </c>
      <c r="F13" s="101">
        <f t="shared" si="2"/>
        <v>2956000000</v>
      </c>
      <c r="G13" s="101">
        <v>3741000000</v>
      </c>
      <c r="H13" s="101">
        <f t="shared" si="3"/>
        <v>1936507000</v>
      </c>
      <c r="I13" s="101">
        <f>'[2]SON TAN'!$I$7</f>
        <v>1917881000</v>
      </c>
      <c r="J13" s="101">
        <f>'DT MUC TIEU 07'!G10</f>
        <v>684128000</v>
      </c>
      <c r="K13" s="101">
        <f t="shared" si="4"/>
        <v>8294516000</v>
      </c>
      <c r="L13" s="101">
        <f>'[2]SON TAN'!$F$7</f>
        <v>8294516000</v>
      </c>
    </row>
    <row r="14" spans="1:12" s="102" customFormat="1" ht="22.5" customHeight="1" x14ac:dyDescent="0.2">
      <c r="A14" s="99">
        <v>5</v>
      </c>
      <c r="B14" s="100" t="s">
        <v>247</v>
      </c>
      <c r="C14" s="101">
        <f>'DT THU BS 04'!C11*1000</f>
        <v>3901000000</v>
      </c>
      <c r="D14" s="101">
        <f t="shared" si="1"/>
        <v>4051000000</v>
      </c>
      <c r="E14" s="101">
        <f>'DT THU BS 04'!F11*1000</f>
        <v>40000000</v>
      </c>
      <c r="F14" s="101">
        <f t="shared" si="2"/>
        <v>3861000000</v>
      </c>
      <c r="G14" s="101">
        <v>4011000000</v>
      </c>
      <c r="H14" s="101">
        <f t="shared" si="3"/>
        <v>1790686000</v>
      </c>
      <c r="I14" s="101">
        <f>'[2]SON DUNG '!$I$7</f>
        <v>1882249000</v>
      </c>
      <c r="J14" s="101">
        <f>'DT MUC TIEU 07'!H10</f>
        <v>751370000</v>
      </c>
      <c r="K14" s="101">
        <f t="shared" si="4"/>
        <v>8475305000</v>
      </c>
      <c r="L14" s="101">
        <f>'[2]SON DUNG '!$F$7</f>
        <v>8475305000</v>
      </c>
    </row>
    <row r="15" spans="1:12" s="102" customFormat="1" ht="22.5" customHeight="1" x14ac:dyDescent="0.2">
      <c r="A15" s="99">
        <v>6</v>
      </c>
      <c r="B15" s="100" t="s">
        <v>253</v>
      </c>
      <c r="C15" s="101">
        <f>'DT THU BS 04'!C12*1000</f>
        <v>2812000000</v>
      </c>
      <c r="D15" s="101">
        <f t="shared" si="1"/>
        <v>3212000000</v>
      </c>
      <c r="E15" s="101">
        <f>'DT THU BS 04'!F12*1000</f>
        <v>1000000</v>
      </c>
      <c r="F15" s="101">
        <f t="shared" si="2"/>
        <v>2811000000</v>
      </c>
      <c r="G15" s="101">
        <v>3211000000</v>
      </c>
      <c r="H15" s="101">
        <f t="shared" si="3"/>
        <v>2029135000</v>
      </c>
      <c r="I15" s="101">
        <f>'[2]SON LONG'!$I$7</f>
        <v>1793374000</v>
      </c>
      <c r="J15" s="101">
        <f>'DT MUC TIEU 07'!I10</f>
        <v>684128000</v>
      </c>
      <c r="K15" s="101">
        <f t="shared" si="4"/>
        <v>7718637000</v>
      </c>
      <c r="L15" s="101">
        <f>'[2]SON LONG'!$F$7</f>
        <v>7718637000</v>
      </c>
    </row>
    <row r="16" spans="1:12" s="102" customFormat="1" ht="22.5" customHeight="1" x14ac:dyDescent="0.2">
      <c r="A16" s="99">
        <v>7</v>
      </c>
      <c r="B16" s="100" t="s">
        <v>248</v>
      </c>
      <c r="C16" s="101">
        <f>'DT THU BS 04'!C13*1000</f>
        <v>3301000000</v>
      </c>
      <c r="D16" s="101">
        <f t="shared" ref="D16" si="5">E16+G16</f>
        <v>3876000000</v>
      </c>
      <c r="E16" s="101">
        <f>'DT THU BS 04'!F13*1000</f>
        <v>15000000</v>
      </c>
      <c r="F16" s="101">
        <f t="shared" ref="F16:F18" si="6">C16-E16</f>
        <v>3286000000</v>
      </c>
      <c r="G16" s="101">
        <v>3861000000</v>
      </c>
      <c r="H16" s="101">
        <f t="shared" si="3"/>
        <v>1562917000</v>
      </c>
      <c r="I16" s="101">
        <f>'[2]SON MUA'!$I$7</f>
        <v>1836451000</v>
      </c>
      <c r="J16" s="101">
        <f>'DT MUC TIEU 07'!J10</f>
        <v>684128000</v>
      </c>
      <c r="K16" s="101">
        <f t="shared" ref="K16" si="7">D16+H16+I16+J16</f>
        <v>7959496000</v>
      </c>
      <c r="L16" s="101">
        <f>'[2]SON MUA'!$F$7</f>
        <v>7959496000</v>
      </c>
    </row>
    <row r="17" spans="1:12" s="102" customFormat="1" ht="22.5" customHeight="1" x14ac:dyDescent="0.2">
      <c r="A17" s="99">
        <v>8</v>
      </c>
      <c r="B17" s="100" t="s">
        <v>254</v>
      </c>
      <c r="C17" s="101">
        <f>'DT THU BS 04'!C14*1000</f>
        <v>2713000000</v>
      </c>
      <c r="D17" s="101">
        <f>E17+G17</f>
        <v>3313000000</v>
      </c>
      <c r="E17" s="101">
        <f>'DT THU BS 04'!F14*1000</f>
        <v>2000000</v>
      </c>
      <c r="F17" s="101">
        <f>C17-E17</f>
        <v>2711000000</v>
      </c>
      <c r="G17" s="101">
        <v>3311000000</v>
      </c>
      <c r="H17" s="101">
        <f t="shared" si="3"/>
        <v>1831490000</v>
      </c>
      <c r="I17" s="101">
        <f>'[2]SON LIEN'!$I$7</f>
        <v>1762937000</v>
      </c>
      <c r="J17" s="101">
        <f>'[2]SON LIEN'!$J$7</f>
        <v>595250000</v>
      </c>
      <c r="K17" s="101">
        <f>D17+H17+I17+J17</f>
        <v>7502677000</v>
      </c>
      <c r="L17" s="101">
        <f>'[2]SON LIEN'!$F$7</f>
        <v>7502677000</v>
      </c>
    </row>
    <row r="18" spans="1:12" s="102" customFormat="1" ht="22.5" customHeight="1" x14ac:dyDescent="0.2">
      <c r="A18" s="99">
        <v>9</v>
      </c>
      <c r="B18" s="100" t="s">
        <v>249</v>
      </c>
      <c r="C18" s="101">
        <f>'DT THU BS 04'!C15*1000</f>
        <v>2714000000</v>
      </c>
      <c r="D18" s="101">
        <f>E18+G18</f>
        <v>3314000000</v>
      </c>
      <c r="E18" s="101">
        <f>'DT THU BS 04'!F15*1000</f>
        <v>2000000</v>
      </c>
      <c r="F18" s="101">
        <f t="shared" si="6"/>
        <v>2712000000</v>
      </c>
      <c r="G18" s="101">
        <v>3312000000</v>
      </c>
      <c r="H18" s="101">
        <f t="shared" si="3"/>
        <v>1821925000</v>
      </c>
      <c r="I18" s="101">
        <f>'[2]SON BUA'!$I$7</f>
        <v>1759431000</v>
      </c>
      <c r="J18" s="101">
        <f>'DT MUC TIEU 07'!L10</f>
        <v>606096000</v>
      </c>
      <c r="K18" s="101">
        <f>D18+H18+I18+J18</f>
        <v>7501452000</v>
      </c>
      <c r="L18" s="101">
        <f>'[2]SON BUA'!$F$7</f>
        <v>7501452000</v>
      </c>
    </row>
    <row r="19" spans="1:12" s="6" customFormat="1" ht="12.75" x14ac:dyDescent="0.2">
      <c r="E19" s="179"/>
    </row>
    <row r="20" spans="1:12" s="6" customFormat="1" ht="12.75" x14ac:dyDescent="0.2"/>
    <row r="21" spans="1:12" s="6" customFormat="1" ht="12.75" x14ac:dyDescent="0.2"/>
  </sheetData>
  <mergeCells count="14">
    <mergeCell ref="J5:J7"/>
    <mergeCell ref="K5:K7"/>
    <mergeCell ref="E6:E7"/>
    <mergeCell ref="F6:G6"/>
    <mergeCell ref="J1:K1"/>
    <mergeCell ref="A2:K2"/>
    <mergeCell ref="A3:K3"/>
    <mergeCell ref="A5:A7"/>
    <mergeCell ref="B5:B7"/>
    <mergeCell ref="C5:C7"/>
    <mergeCell ref="D5:D7"/>
    <mergeCell ref="E5:G5"/>
    <mergeCell ref="H5:H7"/>
    <mergeCell ref="I5:I7"/>
  </mergeCells>
  <pageMargins left="0.45" right="0"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
  <sheetViews>
    <sheetView workbookViewId="0">
      <selection activeCell="B6" sqref="B6"/>
    </sheetView>
  </sheetViews>
  <sheetFormatPr defaultRowHeight="15" x14ac:dyDescent="0.25"/>
  <cols>
    <col min="1" max="1" width="7.5703125" customWidth="1"/>
    <col min="2" max="2" width="58.28515625" customWidth="1"/>
    <col min="3" max="3" width="21.28515625" customWidth="1"/>
  </cols>
  <sheetData>
    <row r="1" spans="1:3" s="7" customFormat="1" ht="18.75" x14ac:dyDescent="0.3">
      <c r="C1" s="19" t="s">
        <v>256</v>
      </c>
    </row>
    <row r="2" spans="1:3" s="7" customFormat="1" ht="36.6" customHeight="1" x14ac:dyDescent="0.3">
      <c r="A2" s="267" t="s">
        <v>546</v>
      </c>
      <c r="B2" s="267"/>
      <c r="C2" s="267"/>
    </row>
    <row r="3" spans="1:3" s="7" customFormat="1" ht="20.65" customHeight="1" x14ac:dyDescent="0.3">
      <c r="A3" s="268" t="str">
        <f>'DT THU BS 05'!A3:K3</f>
        <v>(Kèm theo Tờ trình số 79/TTr-UBND ngày 06/12/2024 của UBND huyện Sơn Tây)</v>
      </c>
      <c r="B3" s="246"/>
      <c r="C3" s="246"/>
    </row>
    <row r="4" spans="1:3" s="7" customFormat="1" ht="18.75" x14ac:dyDescent="0.3">
      <c r="C4" s="19" t="s">
        <v>114</v>
      </c>
    </row>
    <row r="5" spans="1:3" s="7" customFormat="1" ht="47.25" customHeight="1" x14ac:dyDescent="0.3">
      <c r="A5" s="8" t="s">
        <v>115</v>
      </c>
      <c r="B5" s="8" t="s">
        <v>144</v>
      </c>
      <c r="C5" s="8" t="s">
        <v>604</v>
      </c>
    </row>
    <row r="6" spans="1:3" s="7" customFormat="1" ht="37.5" customHeight="1" x14ac:dyDescent="0.3">
      <c r="A6" s="20">
        <v>1</v>
      </c>
      <c r="B6" s="21" t="s">
        <v>257</v>
      </c>
      <c r="C6" s="22">
        <f>'DT MUC TIEU 07'!C6</f>
        <v>694200000</v>
      </c>
    </row>
    <row r="7" spans="1:3" s="7" customFormat="1" ht="37.5" x14ac:dyDescent="0.3">
      <c r="A7" s="10">
        <v>2</v>
      </c>
      <c r="B7" s="23" t="s">
        <v>572</v>
      </c>
      <c r="C7" s="22">
        <f>'DT MUC TIEU 07'!C7</f>
        <v>2919000000</v>
      </c>
    </row>
    <row r="8" spans="1:3" s="7" customFormat="1" ht="39" customHeight="1" x14ac:dyDescent="0.3">
      <c r="A8" s="20">
        <v>3</v>
      </c>
      <c r="B8" s="23" t="s">
        <v>571</v>
      </c>
      <c r="C8" s="22">
        <f>'DT MUC TIEU 07'!C8</f>
        <v>1971900000</v>
      </c>
    </row>
    <row r="9" spans="1:3" s="7" customFormat="1" ht="56.25" x14ac:dyDescent="0.3">
      <c r="A9" s="10">
        <v>4</v>
      </c>
      <c r="B9" s="24" t="s">
        <v>570</v>
      </c>
      <c r="C9" s="22">
        <f>'DT MUC TIEU 07'!C9</f>
        <v>432000000</v>
      </c>
    </row>
    <row r="10" spans="1:3" s="9" customFormat="1" ht="22.5" customHeight="1" x14ac:dyDescent="0.3">
      <c r="A10" s="11"/>
      <c r="B10" s="11" t="s">
        <v>258</v>
      </c>
      <c r="C10" s="12">
        <f>SUM(C6:C9)</f>
        <v>6017100000</v>
      </c>
    </row>
  </sheetData>
  <mergeCells count="2">
    <mergeCell ref="A2:C2"/>
    <mergeCell ref="A3:C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tabSelected="1" zoomScale="70" zoomScaleNormal="70" workbookViewId="0">
      <selection activeCell="E6" sqref="E6"/>
    </sheetView>
  </sheetViews>
  <sheetFormatPr defaultRowHeight="15" x14ac:dyDescent="0.25"/>
  <cols>
    <col min="1" max="1" width="5.85546875" customWidth="1"/>
    <col min="2" max="2" width="26.140625" customWidth="1"/>
    <col min="3" max="3" width="16.140625" customWidth="1"/>
    <col min="4" max="4" width="14.140625" customWidth="1"/>
    <col min="5" max="5" width="14" customWidth="1"/>
    <col min="6" max="7" width="13.7109375" customWidth="1"/>
    <col min="8" max="9" width="14.140625" customWidth="1"/>
    <col min="10" max="10" width="14" customWidth="1"/>
    <col min="11" max="11" width="14.140625" customWidth="1"/>
    <col min="12" max="12" width="15" customWidth="1"/>
    <col min="13" max="13" width="13.5703125" bestFit="1" customWidth="1"/>
    <col min="14" max="14" width="12.140625" bestFit="1" customWidth="1"/>
  </cols>
  <sheetData>
    <row r="1" spans="1:14" s="25" customFormat="1" ht="16.5" x14ac:dyDescent="0.25">
      <c r="F1" s="57"/>
      <c r="K1" s="269" t="s">
        <v>259</v>
      </c>
      <c r="L1" s="269"/>
    </row>
    <row r="2" spans="1:14" s="25" customFormat="1" ht="23.25" customHeight="1" x14ac:dyDescent="0.25">
      <c r="A2" s="243" t="s">
        <v>547</v>
      </c>
      <c r="B2" s="243"/>
      <c r="C2" s="243"/>
      <c r="D2" s="243"/>
      <c r="E2" s="243"/>
      <c r="F2" s="243"/>
      <c r="G2" s="243"/>
      <c r="H2" s="243"/>
      <c r="I2" s="243"/>
      <c r="J2" s="243"/>
      <c r="K2" s="243"/>
      <c r="L2" s="243"/>
    </row>
    <row r="3" spans="1:14" s="25" customFormat="1" ht="23.25" customHeight="1" x14ac:dyDescent="0.25">
      <c r="A3" s="270" t="s">
        <v>609</v>
      </c>
      <c r="B3" s="270"/>
      <c r="C3" s="270"/>
      <c r="D3" s="270"/>
      <c r="E3" s="270"/>
      <c r="F3" s="270"/>
      <c r="G3" s="270"/>
      <c r="H3" s="270"/>
      <c r="I3" s="270"/>
      <c r="J3" s="270"/>
      <c r="K3" s="270"/>
      <c r="L3" s="270"/>
    </row>
    <row r="4" spans="1:14" s="25" customFormat="1" ht="16.5" x14ac:dyDescent="0.25">
      <c r="F4" s="57"/>
      <c r="K4" s="271" t="s">
        <v>114</v>
      </c>
      <c r="L4" s="271"/>
    </row>
    <row r="5" spans="1:14" s="25" customFormat="1" ht="46.5" customHeight="1" x14ac:dyDescent="0.25">
      <c r="A5" s="26" t="s">
        <v>115</v>
      </c>
      <c r="B5" s="26" t="s">
        <v>144</v>
      </c>
      <c r="C5" s="26" t="s">
        <v>258</v>
      </c>
      <c r="D5" s="26" t="s">
        <v>252</v>
      </c>
      <c r="E5" s="26" t="s">
        <v>251</v>
      </c>
      <c r="F5" s="26" t="s">
        <v>255</v>
      </c>
      <c r="G5" s="26" t="s">
        <v>250</v>
      </c>
      <c r="H5" s="26" t="s">
        <v>247</v>
      </c>
      <c r="I5" s="26" t="s">
        <v>253</v>
      </c>
      <c r="J5" s="26" t="s">
        <v>248</v>
      </c>
      <c r="K5" s="26" t="s">
        <v>254</v>
      </c>
      <c r="L5" s="26" t="s">
        <v>249</v>
      </c>
    </row>
    <row r="6" spans="1:14" s="144" customFormat="1" ht="89.25" customHeight="1" x14ac:dyDescent="0.25">
      <c r="A6" s="145">
        <v>1</v>
      </c>
      <c r="B6" s="146" t="s">
        <v>257</v>
      </c>
      <c r="C6" s="147">
        <f>SUM(D6:L6)</f>
        <v>694200000</v>
      </c>
      <c r="D6" s="147">
        <v>65076000</v>
      </c>
      <c r="E6" s="147">
        <v>86768000</v>
      </c>
      <c r="F6" s="147">
        <v>65076000</v>
      </c>
      <c r="G6" s="147">
        <v>86768000</v>
      </c>
      <c r="H6" s="147">
        <v>97670000</v>
      </c>
      <c r="I6" s="147">
        <v>86768000</v>
      </c>
      <c r="J6" s="147">
        <v>86768000</v>
      </c>
      <c r="K6" s="147">
        <v>54230000</v>
      </c>
      <c r="L6" s="147">
        <v>65076000</v>
      </c>
    </row>
    <row r="7" spans="1:14" s="144" customFormat="1" ht="65.099999999999994" customHeight="1" x14ac:dyDescent="0.25">
      <c r="A7" s="148">
        <v>2</v>
      </c>
      <c r="B7" s="23" t="s">
        <v>572</v>
      </c>
      <c r="C7" s="149">
        <f t="shared" ref="C7:C9" si="0">SUM(D7:L7)</f>
        <v>2919000000</v>
      </c>
      <c r="D7" s="149">
        <v>327000000</v>
      </c>
      <c r="E7" s="149">
        <v>324000000</v>
      </c>
      <c r="F7" s="149">
        <v>324000000</v>
      </c>
      <c r="G7" s="149">
        <v>324000000</v>
      </c>
      <c r="H7" s="149">
        <v>324000000</v>
      </c>
      <c r="I7" s="149">
        <v>324000000</v>
      </c>
      <c r="J7" s="149">
        <v>324000000</v>
      </c>
      <c r="K7" s="149">
        <v>324000000</v>
      </c>
      <c r="L7" s="149">
        <v>324000000</v>
      </c>
    </row>
    <row r="8" spans="1:14" s="144" customFormat="1" ht="64.150000000000006" customHeight="1" x14ac:dyDescent="0.25">
      <c r="A8" s="150">
        <v>3</v>
      </c>
      <c r="B8" s="23" t="s">
        <v>571</v>
      </c>
      <c r="C8" s="149">
        <f t="shared" si="0"/>
        <v>1971900000</v>
      </c>
      <c r="D8" s="147">
        <v>169020000</v>
      </c>
      <c r="E8" s="147">
        <v>281700000</v>
      </c>
      <c r="F8" s="147">
        <v>225360000</v>
      </c>
      <c r="G8" s="147">
        <v>225360000</v>
      </c>
      <c r="H8" s="147">
        <v>281700000</v>
      </c>
      <c r="I8" s="147">
        <v>225360000</v>
      </c>
      <c r="J8" s="147">
        <v>225360000</v>
      </c>
      <c r="K8" s="147">
        <v>169020000</v>
      </c>
      <c r="L8" s="147">
        <v>169020000</v>
      </c>
      <c r="N8" s="151"/>
    </row>
    <row r="9" spans="1:14" s="144" customFormat="1" ht="112.5" x14ac:dyDescent="0.25">
      <c r="A9" s="142">
        <v>4</v>
      </c>
      <c r="B9" s="24" t="s">
        <v>570</v>
      </c>
      <c r="C9" s="143">
        <f t="shared" si="0"/>
        <v>432000000</v>
      </c>
      <c r="D9" s="143">
        <v>48000000</v>
      </c>
      <c r="E9" s="143">
        <v>48000000</v>
      </c>
      <c r="F9" s="143">
        <v>48000000</v>
      </c>
      <c r="G9" s="143">
        <v>48000000</v>
      </c>
      <c r="H9" s="143">
        <v>48000000</v>
      </c>
      <c r="I9" s="143">
        <v>48000000</v>
      </c>
      <c r="J9" s="143">
        <v>48000000</v>
      </c>
      <c r="K9" s="143">
        <v>48000000</v>
      </c>
      <c r="L9" s="143">
        <v>48000000</v>
      </c>
    </row>
    <row r="10" spans="1:14" s="28" customFormat="1" ht="24.75" customHeight="1" x14ac:dyDescent="0.25">
      <c r="A10" s="272" t="s">
        <v>258</v>
      </c>
      <c r="B10" s="273"/>
      <c r="C10" s="86">
        <f>SUM(C6:C9)</f>
        <v>6017100000</v>
      </c>
      <c r="D10" s="86">
        <f t="shared" ref="D10:L10" si="1">SUM(D6:D9)</f>
        <v>609096000</v>
      </c>
      <c r="E10" s="86">
        <f t="shared" si="1"/>
        <v>740468000</v>
      </c>
      <c r="F10" s="86">
        <f t="shared" si="1"/>
        <v>662436000</v>
      </c>
      <c r="G10" s="86">
        <f t="shared" si="1"/>
        <v>684128000</v>
      </c>
      <c r="H10" s="86">
        <f t="shared" si="1"/>
        <v>751370000</v>
      </c>
      <c r="I10" s="86">
        <f t="shared" si="1"/>
        <v>684128000</v>
      </c>
      <c r="J10" s="86">
        <f t="shared" si="1"/>
        <v>684128000</v>
      </c>
      <c r="K10" s="86">
        <f t="shared" si="1"/>
        <v>595250000</v>
      </c>
      <c r="L10" s="86">
        <f t="shared" si="1"/>
        <v>606096000</v>
      </c>
    </row>
  </sheetData>
  <mergeCells count="5">
    <mergeCell ref="K1:L1"/>
    <mergeCell ref="A2:L2"/>
    <mergeCell ref="A3:L3"/>
    <mergeCell ref="K4:L4"/>
    <mergeCell ref="A10:B10"/>
  </mergeCells>
  <pageMargins left="0.45" right="0.2" top="0.75" bottom="0.75" header="0.3" footer="0.3"/>
  <pageSetup paperSize="9" scale="80" orientation="landscape"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8"/>
  <sheetViews>
    <sheetView workbookViewId="0">
      <selection activeCell="A2" sqref="A2:F2"/>
    </sheetView>
  </sheetViews>
  <sheetFormatPr defaultRowHeight="15" x14ac:dyDescent="0.25"/>
  <cols>
    <col min="1" max="1" width="7.28515625" customWidth="1"/>
    <col min="2" max="2" width="16.28515625" customWidth="1"/>
    <col min="3" max="3" width="17.42578125" customWidth="1"/>
    <col min="4" max="4" width="14.5703125" customWidth="1"/>
    <col min="5" max="5" width="17.140625" customWidth="1"/>
    <col min="6" max="6" width="14" customWidth="1"/>
    <col min="7" max="7" width="16.5703125" hidden="1" customWidth="1"/>
    <col min="8" max="8" width="17.28515625" hidden="1" customWidth="1"/>
    <col min="9" max="9" width="1.7109375" customWidth="1"/>
  </cols>
  <sheetData>
    <row r="1" spans="1:9" ht="18.75" x14ac:dyDescent="0.3">
      <c r="E1" s="248" t="s">
        <v>260</v>
      </c>
      <c r="F1" s="248"/>
    </row>
    <row r="2" spans="1:9" ht="41.25" customHeight="1" x14ac:dyDescent="0.25">
      <c r="A2" s="274" t="s">
        <v>548</v>
      </c>
      <c r="B2" s="274"/>
      <c r="C2" s="274"/>
      <c r="D2" s="274"/>
      <c r="E2" s="274"/>
      <c r="F2" s="274"/>
    </row>
    <row r="3" spans="1:9" ht="19.5" customHeight="1" x14ac:dyDescent="0.25">
      <c r="A3" s="275" t="str">
        <f>'DT MUC TIEU 07'!A3:L3</f>
        <v>(kèm theo Tờ trình số 79/TTr-UBND ngày 05/12/2024 của UBND huyện Sơn Tây)</v>
      </c>
      <c r="B3" s="276"/>
      <c r="C3" s="276"/>
      <c r="D3" s="276"/>
      <c r="E3" s="276"/>
      <c r="F3" s="276"/>
    </row>
    <row r="4" spans="1:9" ht="15.75" x14ac:dyDescent="0.25">
      <c r="A4" s="29"/>
      <c r="B4" s="29"/>
      <c r="C4" s="29"/>
      <c r="D4" s="29"/>
      <c r="E4" s="29"/>
      <c r="F4" s="29"/>
    </row>
    <row r="5" spans="1:9" ht="15.75" x14ac:dyDescent="0.25">
      <c r="A5" s="30"/>
      <c r="B5" s="30"/>
      <c r="C5" s="30"/>
      <c r="D5" s="30"/>
      <c r="E5" s="30"/>
      <c r="F5" s="31" t="s">
        <v>261</v>
      </c>
    </row>
    <row r="6" spans="1:9" ht="101.1" customHeight="1" x14ac:dyDescent="0.25">
      <c r="A6" s="32" t="s">
        <v>115</v>
      </c>
      <c r="B6" s="32" t="s">
        <v>262</v>
      </c>
      <c r="C6" s="32" t="s">
        <v>182</v>
      </c>
      <c r="D6" s="32" t="s">
        <v>263</v>
      </c>
      <c r="E6" s="32" t="s">
        <v>540</v>
      </c>
      <c r="F6" s="32" t="s">
        <v>264</v>
      </c>
    </row>
    <row r="7" spans="1:9" ht="15.75" x14ac:dyDescent="0.25">
      <c r="A7" s="33" t="s">
        <v>149</v>
      </c>
      <c r="B7" s="33" t="s">
        <v>150</v>
      </c>
      <c r="C7" s="33" t="s">
        <v>265</v>
      </c>
      <c r="D7" s="33">
        <v>2</v>
      </c>
      <c r="E7" s="33">
        <v>3</v>
      </c>
      <c r="F7" s="33">
        <v>4</v>
      </c>
    </row>
    <row r="8" spans="1:9" s="76" customFormat="1" ht="21" customHeight="1" x14ac:dyDescent="0.3">
      <c r="A8" s="26"/>
      <c r="B8" s="96" t="s">
        <v>246</v>
      </c>
      <c r="C8" s="97">
        <f t="shared" ref="C8:D8" si="0">SUM(C9:C17)</f>
        <v>6017100000</v>
      </c>
      <c r="D8" s="97">
        <f t="shared" si="0"/>
        <v>0</v>
      </c>
      <c r="E8" s="97">
        <f>SUM(E9:E17)</f>
        <v>6017100000</v>
      </c>
      <c r="F8" s="97">
        <f>SUM(F13:F17)</f>
        <v>0</v>
      </c>
      <c r="G8" s="103">
        <v>3383200</v>
      </c>
      <c r="H8" s="103">
        <v>1607868</v>
      </c>
      <c r="I8" s="103">
        <f>G8-H8</f>
        <v>1775332</v>
      </c>
    </row>
    <row r="9" spans="1:9" s="87" customFormat="1" ht="21" customHeight="1" x14ac:dyDescent="0.3">
      <c r="A9" s="92">
        <v>1</v>
      </c>
      <c r="B9" s="93" t="s">
        <v>252</v>
      </c>
      <c r="C9" s="94">
        <f t="shared" ref="C9:C14" si="1">SUM(D9:F9)</f>
        <v>609096000</v>
      </c>
      <c r="D9" s="94"/>
      <c r="E9" s="95">
        <f>'DT MUC TIEU 07'!D10</f>
        <v>609096000</v>
      </c>
      <c r="F9" s="94"/>
    </row>
    <row r="10" spans="1:9" s="87" customFormat="1" ht="21" customHeight="1" x14ac:dyDescent="0.3">
      <c r="A10" s="92">
        <v>2</v>
      </c>
      <c r="B10" s="93" t="s">
        <v>251</v>
      </c>
      <c r="C10" s="94">
        <f t="shared" si="1"/>
        <v>740468000</v>
      </c>
      <c r="D10" s="94"/>
      <c r="E10" s="95">
        <f>'DT MUC TIEU 07'!E10</f>
        <v>740468000</v>
      </c>
      <c r="F10" s="94"/>
    </row>
    <row r="11" spans="1:9" s="87" customFormat="1" ht="21" customHeight="1" x14ac:dyDescent="0.3">
      <c r="A11" s="92">
        <v>3</v>
      </c>
      <c r="B11" s="90" t="s">
        <v>255</v>
      </c>
      <c r="C11" s="91">
        <f t="shared" si="1"/>
        <v>662436000</v>
      </c>
      <c r="D11" s="91"/>
      <c r="E11" s="95">
        <f>'DT MUC TIEU 07'!F10</f>
        <v>662436000</v>
      </c>
      <c r="F11" s="91"/>
    </row>
    <row r="12" spans="1:9" s="87" customFormat="1" ht="21" customHeight="1" x14ac:dyDescent="0.3">
      <c r="A12" s="92">
        <v>4</v>
      </c>
      <c r="B12" s="93" t="s">
        <v>250</v>
      </c>
      <c r="C12" s="94">
        <f t="shared" si="1"/>
        <v>684128000</v>
      </c>
      <c r="D12" s="94"/>
      <c r="E12" s="95">
        <f>'DT MUC TIEU 07'!G10</f>
        <v>684128000</v>
      </c>
      <c r="F12" s="94"/>
    </row>
    <row r="13" spans="1:9" s="87" customFormat="1" ht="21" customHeight="1" x14ac:dyDescent="0.3">
      <c r="A13" s="92">
        <v>5</v>
      </c>
      <c r="B13" s="88" t="s">
        <v>247</v>
      </c>
      <c r="C13" s="89">
        <f t="shared" si="1"/>
        <v>751370000</v>
      </c>
      <c r="D13" s="89"/>
      <c r="E13" s="95">
        <f>'DT MUC TIEU 07'!H10</f>
        <v>751370000</v>
      </c>
      <c r="F13" s="89"/>
      <c r="G13" s="104">
        <f>(G8*H13)/H8</f>
        <v>2.1041528284660185</v>
      </c>
      <c r="H13" s="104">
        <v>1</v>
      </c>
    </row>
    <row r="14" spans="1:9" s="87" customFormat="1" ht="21" customHeight="1" x14ac:dyDescent="0.3">
      <c r="A14" s="92">
        <v>6</v>
      </c>
      <c r="B14" s="93" t="s">
        <v>253</v>
      </c>
      <c r="C14" s="94">
        <f t="shared" si="1"/>
        <v>684128000</v>
      </c>
      <c r="D14" s="94"/>
      <c r="E14" s="95">
        <f>'DT MUC TIEU 07'!I10</f>
        <v>684128000</v>
      </c>
      <c r="F14" s="94"/>
    </row>
    <row r="15" spans="1:9" s="87" customFormat="1" ht="21" customHeight="1" x14ac:dyDescent="0.3">
      <c r="A15" s="92">
        <v>7</v>
      </c>
      <c r="B15" s="93" t="s">
        <v>248</v>
      </c>
      <c r="C15" s="94">
        <f t="shared" ref="C15:C17" si="2">SUM(D15:F15)</f>
        <v>684128000</v>
      </c>
      <c r="D15" s="94"/>
      <c r="E15" s="95">
        <f>'DT MUC TIEU 07'!J10</f>
        <v>684128000</v>
      </c>
      <c r="F15" s="94"/>
    </row>
    <row r="16" spans="1:9" s="87" customFormat="1" ht="21" customHeight="1" x14ac:dyDescent="0.3">
      <c r="A16" s="92">
        <v>8</v>
      </c>
      <c r="B16" s="93" t="s">
        <v>254</v>
      </c>
      <c r="C16" s="94">
        <f>SUM(D16:F16)</f>
        <v>595250000</v>
      </c>
      <c r="D16" s="94"/>
      <c r="E16" s="95">
        <f>'DT MUC TIEU 07'!K10</f>
        <v>595250000</v>
      </c>
      <c r="F16" s="94"/>
    </row>
    <row r="17" spans="1:6" s="87" customFormat="1" ht="21" customHeight="1" x14ac:dyDescent="0.3">
      <c r="A17" s="92">
        <v>9</v>
      </c>
      <c r="B17" s="93" t="s">
        <v>249</v>
      </c>
      <c r="C17" s="94">
        <f t="shared" si="2"/>
        <v>606096000</v>
      </c>
      <c r="D17" s="94"/>
      <c r="E17" s="95">
        <f>'DT MUC TIEU 07'!L10</f>
        <v>606096000</v>
      </c>
      <c r="F17" s="94"/>
    </row>
    <row r="18" spans="1:6" s="87" customFormat="1" ht="18.75" x14ac:dyDescent="0.3"/>
  </sheetData>
  <mergeCells count="3">
    <mergeCell ref="E1:F1"/>
    <mergeCell ref="A2:F2"/>
    <mergeCell ref="A3:F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DT THU BS 01</vt:lpstr>
      <vt:lpstr>DT CHI BS 02</vt:lpstr>
      <vt:lpstr>DT THU BS 03</vt:lpstr>
      <vt:lpstr>DT THU BS 04</vt:lpstr>
      <vt:lpstr>DT THU BS 05</vt:lpstr>
      <vt:lpstr>DT MUC TIEU XA</vt:lpstr>
      <vt:lpstr>DT MUC TIEU 07</vt:lpstr>
      <vt:lpstr>DT BO SUNG MUC TIEU 08</vt:lpstr>
      <vt:lpstr>PHƯƠNG AN 2024</vt:lpstr>
      <vt:lpstr>TUNG SU NGHIEP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2024-12-20T01:15:22Z</cp:lastPrinted>
  <dcterms:created xsi:type="dcterms:W3CDTF">2023-12-07T02:24:21Z</dcterms:created>
  <dcterms:modified xsi:type="dcterms:W3CDTF">2024-12-22T05:40:09Z</dcterms:modified>
</cp:coreProperties>
</file>